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Web Work\crops\marketing\"/>
    </mc:Choice>
  </mc:AlternateContent>
  <bookViews>
    <workbookView xWindow="0" yWindow="0" windowWidth="21570" windowHeight="10140"/>
  </bookViews>
  <sheets>
    <sheet name="Instructions" sheetId="35" r:id="rId1"/>
    <sheet name="Corn Already Planted" sheetId="29" r:id="rId2"/>
    <sheet name="Corn Prevented Planting" sheetId="31" r:id="rId3"/>
    <sheet name="Soybeans Already Planted" sheetId="32" r:id="rId4"/>
    <sheet name="Soybeans Prevented Planting" sheetId="33" r:id="rId5"/>
    <sheet name="RMAData" sheetId="27" state="hidden" r:id="rId6"/>
  </sheets>
  <definedNames>
    <definedName name="_xlnm.Print_Area" localSheetId="1">'Corn Already Planted'!$C$1:$O$54</definedName>
    <definedName name="_xlnm.Print_Area" localSheetId="2">'Corn Prevented Planting'!$C$1:$AB$55</definedName>
    <definedName name="_xlnm.Print_Area" localSheetId="3">'Soybeans Already Planted'!$C$1:$AB$54</definedName>
    <definedName name="_xlnm.Print_Area" localSheetId="4">'Soybeans Prevented Planting'!$C$1:$AB$54</definedName>
    <definedName name="Z_F9149101_45DA_497E_B5FE_736B1DD83EC1_.wvu.PrintArea" localSheetId="1" hidden="1">'Corn Already Planted'!$A$1:$O$79</definedName>
    <definedName name="Z_F9149101_45DA_497E_B5FE_736B1DD83EC1_.wvu.PrintArea" localSheetId="2" hidden="1">'Corn Prevented Planting'!$A$1:$AB$80</definedName>
    <definedName name="Z_F9149101_45DA_497E_B5FE_736B1DD83EC1_.wvu.PrintArea" localSheetId="3" hidden="1">'Soybeans Already Planted'!$A$1:$AB$79</definedName>
    <definedName name="Z_F9149101_45DA_497E_B5FE_736B1DD83EC1_.wvu.PrintArea" localSheetId="4" hidden="1">'Soybeans Prevented Planting'!$A$1:$AB$79</definedName>
  </definedNames>
  <calcPr calcId="162913"/>
  <customWorkbookViews>
    <customWorkbookView name="Corn Already Planted" guid="{F9149101-45DA-497E-B5FE-736B1DD83EC1}" includeHiddenRowCol="0" maximized="1" windowWidth="1043" windowHeight="692" activeSheetId="1"/>
  </customWorkbookViews>
</workbook>
</file>

<file path=xl/calcChain.xml><?xml version="1.0" encoding="utf-8"?>
<calcChain xmlns="http://schemas.openxmlformats.org/spreadsheetml/2006/main">
  <c r="BB101" i="33" l="1"/>
  <c r="BB102" i="32"/>
  <c r="AP89" i="31"/>
  <c r="AO89" i="31"/>
  <c r="AO101" i="29"/>
  <c r="AO101" i="31"/>
  <c r="AH80" i="29"/>
  <c r="L4" i="27"/>
  <c r="L5" i="27" l="1"/>
  <c r="BC105" i="33" l="1"/>
  <c r="BC117" i="33" s="1"/>
  <c r="H16" i="33" s="1"/>
  <c r="C3" i="27"/>
  <c r="BC106" i="32"/>
  <c r="BC118" i="32" s="1"/>
  <c r="BB106" i="32"/>
  <c r="BB118" i="32" s="1"/>
  <c r="AP105" i="31"/>
  <c r="AP117" i="31" s="1"/>
  <c r="AP105" i="29"/>
  <c r="AR117" i="29" s="1"/>
  <c r="AO105" i="31"/>
  <c r="AO117" i="31" s="1"/>
  <c r="AO105" i="29"/>
  <c r="C80" i="27"/>
  <c r="E72" i="27"/>
  <c r="BE123" i="33"/>
  <c r="D19" i="27"/>
  <c r="D15" i="27"/>
  <c r="C29" i="27"/>
  <c r="E26" i="27"/>
  <c r="E25" i="27"/>
  <c r="F34" i="27"/>
  <c r="C61" i="27"/>
  <c r="C53" i="27"/>
  <c r="C4" i="27"/>
  <c r="D38" i="27"/>
  <c r="D4" i="27"/>
  <c r="E41" i="27"/>
  <c r="F12" i="27"/>
  <c r="C39" i="27"/>
  <c r="F88" i="27"/>
  <c r="F102" i="27"/>
  <c r="F116" i="27"/>
  <c r="C18" i="27"/>
  <c r="C6" i="27"/>
  <c r="F14" i="27"/>
  <c r="D22" i="27"/>
  <c r="F26" i="27"/>
  <c r="C46" i="27"/>
  <c r="F40" i="27"/>
  <c r="E64" i="27"/>
  <c r="F52" i="27"/>
  <c r="E73" i="27"/>
  <c r="C81" i="27"/>
  <c r="F91" i="27"/>
  <c r="C102" i="27"/>
  <c r="D116" i="27"/>
  <c r="F3" i="27"/>
  <c r="C12" i="27"/>
  <c r="C31" i="27"/>
  <c r="F21" i="27"/>
  <c r="E32" i="27"/>
  <c r="C38" i="27"/>
  <c r="F53" i="27"/>
  <c r="D60" i="27"/>
  <c r="C59" i="27"/>
  <c r="E71" i="27"/>
  <c r="F80" i="27"/>
  <c r="F90" i="27"/>
  <c r="E105" i="27"/>
  <c r="AR123" i="31"/>
  <c r="C13" i="27"/>
  <c r="C14" i="27"/>
  <c r="C22" i="27"/>
  <c r="F23" i="27"/>
  <c r="E34" i="27"/>
  <c r="E43" i="27"/>
  <c r="E65" i="27"/>
  <c r="D58" i="27"/>
  <c r="C55" i="27"/>
  <c r="D71" i="27"/>
  <c r="C87" i="27"/>
  <c r="F84" i="27"/>
  <c r="D105" i="27"/>
  <c r="AO124" i="29"/>
  <c r="E63" i="27"/>
  <c r="D54" i="27"/>
  <c r="D68" i="27"/>
  <c r="C75" i="27"/>
  <c r="C86" i="27"/>
  <c r="C94" i="27"/>
  <c r="E108" i="27"/>
  <c r="AP124" i="29"/>
  <c r="E5" i="27"/>
  <c r="E10" i="27"/>
  <c r="C21" i="27"/>
  <c r="E31" i="27"/>
  <c r="D34" i="27"/>
  <c r="E39" i="27"/>
  <c r="D59" i="27"/>
  <c r="C58" i="27"/>
  <c r="C74" i="27"/>
  <c r="C73" i="27"/>
  <c r="C84" i="27"/>
  <c r="F96" i="27"/>
  <c r="E111" i="27"/>
  <c r="BE124" i="32"/>
  <c r="E7" i="27"/>
  <c r="E12" i="27"/>
  <c r="C27" i="27"/>
  <c r="D31" i="27"/>
  <c r="D42" i="27"/>
  <c r="D43" i="27"/>
  <c r="D57" i="27"/>
  <c r="C54" i="27"/>
  <c r="F71" i="27"/>
  <c r="F68" i="27"/>
  <c r="C83" i="27"/>
  <c r="C101" i="27"/>
  <c r="D111" i="27"/>
  <c r="BC124" i="33"/>
  <c r="E11" i="27"/>
  <c r="E14" i="27"/>
  <c r="E19" i="27"/>
  <c r="D28" i="27"/>
  <c r="D40" i="27"/>
  <c r="D37" i="27"/>
  <c r="C63" i="27"/>
  <c r="F55" i="27"/>
  <c r="E76" i="27"/>
  <c r="E78" i="27"/>
  <c r="E87" i="27"/>
  <c r="C99" i="27"/>
  <c r="F114" i="27"/>
  <c r="D14" i="27"/>
  <c r="E13" i="27"/>
  <c r="D10" i="27"/>
  <c r="C5" i="27"/>
  <c r="C34" i="27"/>
  <c r="E22" i="27"/>
  <c r="E30" i="27"/>
  <c r="E35" i="27"/>
  <c r="F43" i="27"/>
  <c r="C47" i="27"/>
  <c r="E61" i="27"/>
  <c r="E58" i="27"/>
  <c r="C52" i="27"/>
  <c r="F58" i="27"/>
  <c r="C68" i="27"/>
  <c r="C69" i="27"/>
  <c r="E80" i="27"/>
  <c r="E90" i="27"/>
  <c r="F97" i="27"/>
  <c r="E103" i="27"/>
  <c r="D112" i="27"/>
  <c r="AQ123" i="29"/>
  <c r="F16" i="27"/>
  <c r="F7" i="27"/>
  <c r="E4" i="27"/>
  <c r="C7" i="27"/>
  <c r="C33" i="27"/>
  <c r="E24" i="27"/>
  <c r="F29" i="27"/>
  <c r="E46" i="27"/>
  <c r="F41" i="27"/>
  <c r="C45" i="27"/>
  <c r="E55" i="27"/>
  <c r="D64" i="27"/>
  <c r="C50" i="27"/>
  <c r="F50" i="27"/>
  <c r="F73" i="27"/>
  <c r="F72" i="27"/>
  <c r="F82" i="27"/>
  <c r="E89" i="27"/>
  <c r="F95" i="27"/>
  <c r="F99" i="27"/>
  <c r="C112" i="27"/>
  <c r="C9" i="27"/>
  <c r="F15" i="27"/>
  <c r="E8" i="27"/>
  <c r="C11" i="27"/>
  <c r="F18" i="27"/>
  <c r="D29" i="27"/>
  <c r="E29" i="27"/>
  <c r="D44" i="27"/>
  <c r="F37" i="27"/>
  <c r="C41" i="27"/>
  <c r="D61" i="27"/>
  <c r="D62" i="27"/>
  <c r="F63" i="27"/>
  <c r="E74" i="27"/>
  <c r="E75" i="27"/>
  <c r="F70" i="27"/>
  <c r="C88" i="27"/>
  <c r="D85" i="27"/>
  <c r="E97" i="27"/>
  <c r="D103" i="27"/>
  <c r="D114" i="27"/>
  <c r="AQ124" i="29"/>
  <c r="D97" i="27"/>
  <c r="F103" i="27"/>
  <c r="C105" i="27"/>
  <c r="C117" i="27"/>
  <c r="AO123" i="31"/>
  <c r="BC124" i="32"/>
  <c r="D7" i="27"/>
  <c r="F9" i="27"/>
  <c r="D6" i="27"/>
  <c r="E16" i="27"/>
  <c r="C23" i="27"/>
  <c r="C26" i="27"/>
  <c r="D21" i="27"/>
  <c r="E28" i="27"/>
  <c r="D30" i="27"/>
  <c r="E44" i="27"/>
  <c r="F47" i="27"/>
  <c r="E37" i="27"/>
  <c r="C37" i="27"/>
  <c r="D65" i="27"/>
  <c r="E62" i="27"/>
  <c r="D52" i="27"/>
  <c r="F51" i="27"/>
  <c r="F54" i="27"/>
  <c r="E70" i="27"/>
  <c r="D69" i="27"/>
  <c r="F67" i="27"/>
  <c r="E82" i="27"/>
  <c r="E86" i="27"/>
  <c r="F89" i="27"/>
  <c r="D95" i="27"/>
  <c r="C100" i="27"/>
  <c r="F106" i="27"/>
  <c r="C116" i="27"/>
  <c r="AR124" i="31"/>
  <c r="BB124" i="32"/>
  <c r="C17" i="27"/>
  <c r="D13" i="27"/>
  <c r="F11" i="27"/>
  <c r="D8" i="27"/>
  <c r="F10" i="27"/>
  <c r="C30" i="27"/>
  <c r="E17" i="27"/>
  <c r="F22" i="27"/>
  <c r="F30" i="27"/>
  <c r="E27" i="27"/>
  <c r="D46" i="27"/>
  <c r="F45" i="27"/>
  <c r="D45" i="27"/>
  <c r="F42" i="27"/>
  <c r="D63" i="27"/>
  <c r="E60" i="27"/>
  <c r="C60" i="27"/>
  <c r="F62" i="27"/>
  <c r="E66" i="27"/>
  <c r="D70" i="27"/>
  <c r="D67" i="27"/>
  <c r="F78" i="27"/>
  <c r="C89" i="27"/>
  <c r="E83" i="27"/>
  <c r="F85" i="27"/>
  <c r="C93" i="27"/>
  <c r="D101" i="27"/>
  <c r="F108" i="27"/>
  <c r="E115" i="27"/>
  <c r="AP124" i="31"/>
  <c r="BE125" i="32"/>
  <c r="D3" i="27"/>
  <c r="D9" i="27"/>
  <c r="E15" i="27"/>
  <c r="C8" i="27"/>
  <c r="D12" i="27"/>
  <c r="F4" i="27"/>
  <c r="C15" i="27"/>
  <c r="C25" i="27"/>
  <c r="E18" i="27"/>
  <c r="E23" i="27"/>
  <c r="F28" i="27"/>
  <c r="F27" i="27"/>
  <c r="F33" i="27"/>
  <c r="E42" i="27"/>
  <c r="C42" i="27"/>
  <c r="E47" i="27"/>
  <c r="D41" i="27"/>
  <c r="F46" i="27"/>
  <c r="E59" i="27"/>
  <c r="D55" i="27"/>
  <c r="E54" i="27"/>
  <c r="C64" i="27"/>
  <c r="F61" i="27"/>
  <c r="C57" i="27"/>
  <c r="D76" i="27"/>
  <c r="E68" i="27"/>
  <c r="E69" i="27"/>
  <c r="C67" i="27"/>
  <c r="C78" i="27"/>
  <c r="D82" i="27"/>
  <c r="C90" i="27"/>
  <c r="D84" i="27"/>
  <c r="D94" i="27"/>
  <c r="D93" i="27"/>
  <c r="E99" i="27"/>
  <c r="D100" i="27"/>
  <c r="D108" i="27"/>
  <c r="C115" i="27"/>
  <c r="AP123" i="29"/>
  <c r="BD125" i="32"/>
  <c r="E3" i="27"/>
  <c r="D11" i="27"/>
  <c r="F5" i="27"/>
  <c r="C10" i="27"/>
  <c r="D16" i="27"/>
  <c r="F6" i="27"/>
  <c r="C24" i="27"/>
  <c r="C35" i="27"/>
  <c r="F19" i="27"/>
  <c r="D23" i="27"/>
  <c r="D26" i="27"/>
  <c r="D25" i="27"/>
  <c r="E33" i="27"/>
  <c r="E38" i="27"/>
  <c r="C40" i="27"/>
  <c r="E45" i="27"/>
  <c r="D39" i="27"/>
  <c r="F44" i="27"/>
  <c r="E57" i="27"/>
  <c r="D53" i="27"/>
  <c r="E50" i="27"/>
  <c r="C62" i="27"/>
  <c r="F59" i="27"/>
  <c r="F64" i="27"/>
  <c r="D72" i="27"/>
  <c r="D74" i="27"/>
  <c r="D75" i="27"/>
  <c r="F74" i="27"/>
  <c r="C82" i="27"/>
  <c r="D81" i="27"/>
  <c r="E88" i="27"/>
  <c r="D88" i="27"/>
  <c r="C96" i="27"/>
  <c r="C97" i="27"/>
  <c r="F101" i="27"/>
  <c r="F105" i="27"/>
  <c r="F111" i="27"/>
  <c r="C114" i="27"/>
  <c r="AP123" i="31"/>
  <c r="AR124" i="29"/>
  <c r="BC125" i="32"/>
  <c r="BC123" i="33"/>
  <c r="E85" i="27"/>
  <c r="D91" i="27"/>
  <c r="E94" i="27"/>
  <c r="E95" i="27"/>
  <c r="F94" i="27"/>
  <c r="D99" i="27"/>
  <c r="D102" i="27"/>
  <c r="E106" i="27"/>
  <c r="C111" i="27"/>
  <c r="E117" i="27"/>
  <c r="AR123" i="29"/>
  <c r="BD124" i="32"/>
  <c r="BB125" i="32"/>
  <c r="C19" i="27"/>
  <c r="D5" i="27"/>
  <c r="E9" i="27"/>
  <c r="F13" i="27"/>
  <c r="C16" i="27"/>
  <c r="E6" i="27"/>
  <c r="F8" i="27"/>
  <c r="C32" i="27"/>
  <c r="C28" i="27"/>
  <c r="D18" i="27"/>
  <c r="E21" i="27"/>
  <c r="F31" i="27"/>
  <c r="F25" i="27"/>
  <c r="D27" i="27"/>
  <c r="D33" i="27"/>
  <c r="E40" i="27"/>
  <c r="C44" i="27"/>
  <c r="F39" i="27"/>
  <c r="D47" i="27"/>
  <c r="C43" i="27"/>
  <c r="F38" i="27"/>
  <c r="E53" i="27"/>
  <c r="C65" i="27"/>
  <c r="E52" i="27"/>
  <c r="D50" i="27"/>
  <c r="F65" i="27"/>
  <c r="F60" i="27"/>
  <c r="F56" i="27"/>
  <c r="C70" i="27"/>
  <c r="C72" i="27"/>
  <c r="D73" i="27"/>
  <c r="F76" i="27"/>
  <c r="D78" i="27"/>
  <c r="D80" i="27"/>
  <c r="C85" i="27"/>
  <c r="E84" i="27"/>
  <c r="D89" i="27"/>
  <c r="D96" i="27"/>
  <c r="E93" i="27"/>
  <c r="C103" i="27"/>
  <c r="E101" i="27"/>
  <c r="E100" i="27"/>
  <c r="D106" i="27"/>
  <c r="E112" i="27"/>
  <c r="E116" i="27"/>
  <c r="AQ123" i="31"/>
  <c r="BE124" i="33"/>
  <c r="E51" i="27"/>
  <c r="D51" i="27"/>
  <c r="E56" i="27"/>
  <c r="D56" i="27"/>
  <c r="C56" i="27"/>
  <c r="F57" i="27"/>
  <c r="C51" i="27"/>
  <c r="C66" i="27"/>
  <c r="F75" i="27"/>
  <c r="C76" i="27"/>
  <c r="E67" i="27"/>
  <c r="C71" i="27"/>
  <c r="F69" i="27"/>
  <c r="F81" i="27"/>
  <c r="E81" i="27"/>
  <c r="C91" i="27"/>
  <c r="E91" i="27"/>
  <c r="D90" i="27"/>
  <c r="E96" i="27"/>
  <c r="F93" i="27"/>
  <c r="C95" i="27"/>
  <c r="F100" i="27"/>
  <c r="E102" i="27"/>
  <c r="C106" i="27"/>
  <c r="C108" i="27"/>
  <c r="F112" i="27"/>
  <c r="E114" i="27"/>
  <c r="AO124" i="31"/>
  <c r="AQ124" i="31"/>
  <c r="AO123" i="29"/>
  <c r="AP95" i="29" l="1"/>
  <c r="BC95" i="33"/>
  <c r="BC95" i="32"/>
  <c r="AO96" i="31"/>
  <c r="BE166" i="31" s="1"/>
  <c r="AO98" i="31"/>
  <c r="AO97" i="29"/>
  <c r="AO95" i="29"/>
  <c r="AO117" i="29"/>
  <c r="AQ117" i="29"/>
  <c r="BE117" i="33"/>
  <c r="BB95" i="32"/>
  <c r="AP117" i="29"/>
  <c r="H16" i="29" s="1"/>
  <c r="AQ117" i="31"/>
  <c r="F16" i="31" s="1"/>
  <c r="AR117" i="31"/>
  <c r="H16" i="31" s="1"/>
  <c r="BD118" i="32"/>
  <c r="BE118" i="32"/>
  <c r="H16" i="32" s="1"/>
  <c r="BC88" i="33"/>
  <c r="BB88" i="33"/>
  <c r="BC88" i="32"/>
  <c r="BB88" i="32"/>
  <c r="AP88" i="29"/>
  <c r="AO88" i="29"/>
  <c r="F16" i="29" l="1"/>
  <c r="L15" i="33"/>
  <c r="N15" i="33"/>
  <c r="R15" i="33"/>
  <c r="T15" i="33"/>
  <c r="X15" i="33"/>
  <c r="J17" i="33"/>
  <c r="J81" i="33" s="1"/>
  <c r="V17" i="33"/>
  <c r="V45" i="33" s="1"/>
  <c r="J19" i="33"/>
  <c r="L19" i="33"/>
  <c r="N19" i="33"/>
  <c r="P19" i="33"/>
  <c r="R19" i="33"/>
  <c r="T19" i="33"/>
  <c r="V19" i="33"/>
  <c r="X19" i="33"/>
  <c r="J22" i="33"/>
  <c r="L22" i="33"/>
  <c r="N22" i="33"/>
  <c r="P22" i="33"/>
  <c r="R22" i="33"/>
  <c r="T22" i="33"/>
  <c r="V22" i="33"/>
  <c r="X22" i="33"/>
  <c r="J23" i="33"/>
  <c r="L23" i="33"/>
  <c r="N23" i="33"/>
  <c r="P23" i="33"/>
  <c r="R23" i="33"/>
  <c r="T23" i="33"/>
  <c r="V23" i="33"/>
  <c r="X23" i="33"/>
  <c r="J24" i="33"/>
  <c r="V24" i="33"/>
  <c r="P43" i="33"/>
  <c r="BC97" i="33"/>
  <c r="BH83" i="33" s="1"/>
  <c r="BH84" i="33" s="1"/>
  <c r="Z14" i="33"/>
  <c r="P14" i="33"/>
  <c r="N17" i="33"/>
  <c r="F16" i="33"/>
  <c r="L17" i="33" s="1"/>
  <c r="AV79" i="33"/>
  <c r="T21" i="33" s="1"/>
  <c r="AU79" i="33"/>
  <c r="L21" i="33" s="1"/>
  <c r="Z43" i="33"/>
  <c r="AB23" i="33"/>
  <c r="Z23" i="33"/>
  <c r="AB22" i="33"/>
  <c r="Z22" i="33"/>
  <c r="AB19" i="33"/>
  <c r="Z19" i="33"/>
  <c r="AB15" i="33"/>
  <c r="H11" i="33"/>
  <c r="F11" i="33"/>
  <c r="BC97" i="32"/>
  <c r="BB97" i="32"/>
  <c r="P14" i="32"/>
  <c r="F16" i="32"/>
  <c r="R17" i="32" s="1"/>
  <c r="AV79" i="32"/>
  <c r="X48" i="32" s="1"/>
  <c r="AU79" i="32"/>
  <c r="R28" i="32" s="1"/>
  <c r="Z43" i="32"/>
  <c r="P43" i="32"/>
  <c r="V24" i="32"/>
  <c r="J24" i="32"/>
  <c r="AB23" i="32"/>
  <c r="Z23" i="32"/>
  <c r="X23" i="32"/>
  <c r="V23" i="32"/>
  <c r="T23" i="32"/>
  <c r="R23" i="32"/>
  <c r="P23" i="32"/>
  <c r="N23" i="32"/>
  <c r="L23" i="32"/>
  <c r="J23" i="32"/>
  <c r="AB22" i="32"/>
  <c r="Z22" i="32"/>
  <c r="X22" i="32"/>
  <c r="V22" i="32"/>
  <c r="T22" i="32"/>
  <c r="R22" i="32"/>
  <c r="P22" i="32"/>
  <c r="N22" i="32"/>
  <c r="L22" i="32"/>
  <c r="J22" i="32"/>
  <c r="AB19" i="32"/>
  <c r="Z19" i="32"/>
  <c r="X19" i="32"/>
  <c r="V19" i="32"/>
  <c r="T19" i="32"/>
  <c r="R19" i="32"/>
  <c r="P19" i="32"/>
  <c r="N19" i="32"/>
  <c r="L19" i="32"/>
  <c r="J19" i="32"/>
  <c r="V17" i="32"/>
  <c r="J17" i="32"/>
  <c r="AB15" i="32"/>
  <c r="X15" i="32"/>
  <c r="T15" i="32"/>
  <c r="R15" i="32"/>
  <c r="N15" i="32"/>
  <c r="L15" i="32"/>
  <c r="H11" i="32"/>
  <c r="F11" i="32"/>
  <c r="AP98" i="31"/>
  <c r="BH84" i="31"/>
  <c r="BJ84" i="31" s="1"/>
  <c r="AP96" i="31"/>
  <c r="Z48" i="31" s="1"/>
  <c r="Z50" i="31" s="1"/>
  <c r="P47" i="31"/>
  <c r="R17" i="31"/>
  <c r="AV80" i="31"/>
  <c r="T22" i="31" s="1"/>
  <c r="T29" i="31" s="1"/>
  <c r="AU80" i="31"/>
  <c r="Z44" i="31"/>
  <c r="P44" i="31"/>
  <c r="V25" i="31"/>
  <c r="J25" i="31"/>
  <c r="AB24" i="31"/>
  <c r="Z24" i="31"/>
  <c r="X24" i="31"/>
  <c r="V24" i="31"/>
  <c r="T24" i="31"/>
  <c r="R24" i="31"/>
  <c r="P24" i="31"/>
  <c r="N24" i="31"/>
  <c r="L24" i="31"/>
  <c r="J24" i="31"/>
  <c r="AB23" i="31"/>
  <c r="Z23" i="31"/>
  <c r="X23" i="31"/>
  <c r="V23" i="31"/>
  <c r="T23" i="31"/>
  <c r="R23" i="31"/>
  <c r="P23" i="31"/>
  <c r="N23" i="31"/>
  <c r="L23" i="31"/>
  <c r="J23" i="31"/>
  <c r="AB19" i="31"/>
  <c r="Z19" i="31"/>
  <c r="X19" i="31"/>
  <c r="V19" i="31"/>
  <c r="T19" i="31"/>
  <c r="R19" i="31"/>
  <c r="P19" i="31"/>
  <c r="N19" i="31"/>
  <c r="L19" i="31"/>
  <c r="J19" i="31"/>
  <c r="V17" i="31"/>
  <c r="V86" i="31" s="1"/>
  <c r="J17" i="31"/>
  <c r="J85" i="31" s="1"/>
  <c r="AB15" i="31"/>
  <c r="X15" i="31"/>
  <c r="T15" i="31"/>
  <c r="R15" i="31"/>
  <c r="N15" i="31"/>
  <c r="L15" i="31"/>
  <c r="H11" i="31"/>
  <c r="F11" i="31"/>
  <c r="Z47" i="32" l="1"/>
  <c r="Z49" i="32" s="1"/>
  <c r="Z50" i="32" s="1"/>
  <c r="V84" i="33"/>
  <c r="V39" i="33"/>
  <c r="V43" i="33" s="1"/>
  <c r="AB22" i="31"/>
  <c r="AB29" i="31" s="1"/>
  <c r="X28" i="31"/>
  <c r="Z28" i="31"/>
  <c r="X49" i="31"/>
  <c r="J85" i="33"/>
  <c r="J45" i="33"/>
  <c r="J84" i="33"/>
  <c r="J46" i="33" s="1"/>
  <c r="V83" i="33"/>
  <c r="J83" i="33"/>
  <c r="V22" i="31"/>
  <c r="V29" i="31" s="1"/>
  <c r="J27" i="32"/>
  <c r="L48" i="32"/>
  <c r="V81" i="33"/>
  <c r="J39" i="33"/>
  <c r="J43" i="33" s="1"/>
  <c r="X22" i="31"/>
  <c r="X29" i="31" s="1"/>
  <c r="Z22" i="31"/>
  <c r="Z29" i="31" s="1"/>
  <c r="V85" i="33"/>
  <c r="X26" i="32"/>
  <c r="AB21" i="32"/>
  <c r="AB28" i="32" s="1"/>
  <c r="X27" i="32"/>
  <c r="X17" i="32"/>
  <c r="X81" i="32" s="1"/>
  <c r="BH83" i="32"/>
  <c r="BH84" i="32" s="1"/>
  <c r="BN84" i="32" s="1"/>
  <c r="V28" i="31"/>
  <c r="Z51" i="31"/>
  <c r="N22" i="31"/>
  <c r="N29" i="31" s="1"/>
  <c r="AB17" i="31"/>
  <c r="AB40" i="31" s="1"/>
  <c r="AB44" i="31" s="1"/>
  <c r="Z47" i="33"/>
  <c r="Z49" i="33" s="1"/>
  <c r="Z50" i="33" s="1"/>
  <c r="F24" i="33"/>
  <c r="L24" i="33" s="1"/>
  <c r="L26" i="33" s="1"/>
  <c r="P14" i="31"/>
  <c r="H25" i="31"/>
  <c r="N25" i="31" s="1"/>
  <c r="N28" i="31" s="1"/>
  <c r="P46" i="32"/>
  <c r="P49" i="32" s="1"/>
  <c r="P50" i="32" s="1"/>
  <c r="H24" i="32"/>
  <c r="AB24" i="32" s="1"/>
  <c r="AB26" i="32" s="1"/>
  <c r="Z14" i="32"/>
  <c r="F24" i="32"/>
  <c r="R24" i="32" s="1"/>
  <c r="R26" i="32" s="1"/>
  <c r="Z14" i="31"/>
  <c r="J22" i="31"/>
  <c r="R22" i="31"/>
  <c r="R29" i="31" s="1"/>
  <c r="J28" i="31"/>
  <c r="F25" i="31"/>
  <c r="R86" i="31" s="1"/>
  <c r="J29" i="31"/>
  <c r="P50" i="31"/>
  <c r="P51" i="31" s="1"/>
  <c r="BG84" i="31" s="1"/>
  <c r="L49" i="31"/>
  <c r="L22" i="31"/>
  <c r="P22" i="31"/>
  <c r="P29" i="31" s="1"/>
  <c r="L28" i="31"/>
  <c r="P28" i="31"/>
  <c r="L29" i="31"/>
  <c r="AB21" i="33"/>
  <c r="AB28" i="33" s="1"/>
  <c r="H24" i="33"/>
  <c r="N81" i="33" s="1"/>
  <c r="Z21" i="33"/>
  <c r="Z27" i="33"/>
  <c r="Z28" i="33"/>
  <c r="N21" i="32"/>
  <c r="T21" i="32"/>
  <c r="T28" i="32" s="1"/>
  <c r="J21" i="32"/>
  <c r="J28" i="32" s="1"/>
  <c r="R21" i="32"/>
  <c r="X21" i="32"/>
  <c r="X28" i="32" s="1"/>
  <c r="V21" i="32"/>
  <c r="Z21" i="32"/>
  <c r="R27" i="32"/>
  <c r="L21" i="32"/>
  <c r="P21" i="32"/>
  <c r="P28" i="32" s="1"/>
  <c r="L27" i="32"/>
  <c r="P27" i="32"/>
  <c r="L28" i="32"/>
  <c r="V27" i="32"/>
  <c r="Z27" i="32"/>
  <c r="N28" i="32"/>
  <c r="V28" i="32"/>
  <c r="Z28" i="32"/>
  <c r="L45" i="33"/>
  <c r="L83" i="33"/>
  <c r="L85" i="33"/>
  <c r="L39" i="33"/>
  <c r="L43" i="33" s="1"/>
  <c r="L81" i="33"/>
  <c r="L84" i="33"/>
  <c r="L46" i="33" s="1"/>
  <c r="N39" i="33"/>
  <c r="N43" i="33" s="1"/>
  <c r="N45" i="33"/>
  <c r="X48" i="33"/>
  <c r="P46" i="33"/>
  <c r="P49" i="33" s="1"/>
  <c r="P50" i="33" s="1"/>
  <c r="T28" i="33"/>
  <c r="P28" i="33"/>
  <c r="L28" i="33"/>
  <c r="X27" i="33"/>
  <c r="P27" i="33"/>
  <c r="L27" i="33"/>
  <c r="P26" i="33"/>
  <c r="V21" i="33"/>
  <c r="R21" i="33"/>
  <c r="N21" i="33"/>
  <c r="J21" i="33"/>
  <c r="R17" i="33"/>
  <c r="L48" i="33"/>
  <c r="V28" i="33"/>
  <c r="R28" i="33"/>
  <c r="N28" i="33"/>
  <c r="J28" i="33"/>
  <c r="V27" i="33"/>
  <c r="R27" i="33"/>
  <c r="J27" i="33"/>
  <c r="V26" i="33"/>
  <c r="J26" i="33"/>
  <c r="X21" i="33"/>
  <c r="X28" i="33" s="1"/>
  <c r="P21" i="33"/>
  <c r="X17" i="33"/>
  <c r="T17" i="33"/>
  <c r="BG83" i="33"/>
  <c r="AB17" i="33"/>
  <c r="Z26" i="33"/>
  <c r="BN84" i="33"/>
  <c r="BL84" i="33"/>
  <c r="BH85" i="33"/>
  <c r="BO84" i="33"/>
  <c r="BM84" i="33"/>
  <c r="BJ84" i="33"/>
  <c r="BJ85" i="33" s="1"/>
  <c r="BJ86" i="33" s="1"/>
  <c r="BJ87" i="33" s="1"/>
  <c r="BJ88" i="33" s="1"/>
  <c r="BJ89" i="33" s="1"/>
  <c r="BJ90" i="33" s="1"/>
  <c r="BJ91" i="33" s="1"/>
  <c r="BJ92" i="33" s="1"/>
  <c r="BJ93" i="33" s="1"/>
  <c r="BJ94" i="33" s="1"/>
  <c r="BJ95" i="33" s="1"/>
  <c r="BJ96" i="33" s="1"/>
  <c r="BJ97" i="33" s="1"/>
  <c r="BJ98" i="33" s="1"/>
  <c r="BJ99" i="33" s="1"/>
  <c r="BJ100" i="33" s="1"/>
  <c r="BJ101" i="33" s="1"/>
  <c r="BJ102" i="33" s="1"/>
  <c r="BJ103" i="33" s="1"/>
  <c r="BJ104" i="33" s="1"/>
  <c r="BJ105" i="33" s="1"/>
  <c r="BJ106" i="33" s="1"/>
  <c r="BG84" i="33"/>
  <c r="BJ83" i="33"/>
  <c r="R81" i="32"/>
  <c r="R45" i="32"/>
  <c r="R39" i="32"/>
  <c r="R43" i="32" s="1"/>
  <c r="L17" i="32"/>
  <c r="V84" i="32"/>
  <c r="V85" i="32"/>
  <c r="V83" i="32"/>
  <c r="V81" i="32"/>
  <c r="V45" i="32"/>
  <c r="P26" i="32"/>
  <c r="V39" i="32"/>
  <c r="V43" i="32" s="1"/>
  <c r="J85" i="32"/>
  <c r="J83" i="32"/>
  <c r="J81" i="32"/>
  <c r="J45" i="32"/>
  <c r="J84" i="32"/>
  <c r="J46" i="32" s="1"/>
  <c r="J26" i="32"/>
  <c r="V26" i="32"/>
  <c r="Z26" i="32"/>
  <c r="J39" i="32"/>
  <c r="J43" i="32" s="1"/>
  <c r="R82" i="31"/>
  <c r="R46" i="31"/>
  <c r="R40" i="31"/>
  <c r="R44" i="31" s="1"/>
  <c r="N17" i="31"/>
  <c r="T17" i="31"/>
  <c r="X17" i="31"/>
  <c r="J27" i="31"/>
  <c r="V27" i="31"/>
  <c r="Z27" i="31"/>
  <c r="J40" i="31"/>
  <c r="J44" i="31" s="1"/>
  <c r="J46" i="31"/>
  <c r="J82" i="31"/>
  <c r="J84" i="31"/>
  <c r="V85" i="31"/>
  <c r="BH85" i="31"/>
  <c r="J86" i="31"/>
  <c r="J47" i="31" s="1"/>
  <c r="L17" i="31"/>
  <c r="P27" i="31"/>
  <c r="V40" i="31"/>
  <c r="V44" i="31" s="1"/>
  <c r="V46" i="31"/>
  <c r="V82" i="31"/>
  <c r="V84" i="31"/>
  <c r="AP97" i="29"/>
  <c r="AU83" i="29"/>
  <c r="AW83" i="29" s="1"/>
  <c r="AI80" i="29"/>
  <c r="N21" i="29" s="1"/>
  <c r="L48" i="29"/>
  <c r="J24" i="29"/>
  <c r="N23" i="29"/>
  <c r="L23" i="29"/>
  <c r="J23" i="29"/>
  <c r="N22" i="29"/>
  <c r="L22" i="29"/>
  <c r="J22" i="29"/>
  <c r="N19" i="29"/>
  <c r="L19" i="29"/>
  <c r="J19" i="29"/>
  <c r="J17" i="29"/>
  <c r="J84" i="29" s="1"/>
  <c r="N15" i="29"/>
  <c r="L15" i="29"/>
  <c r="H11" i="29"/>
  <c r="F11" i="29"/>
  <c r="V47" i="33" l="1"/>
  <c r="V49" i="33" s="1"/>
  <c r="V50" i="33" s="1"/>
  <c r="J49" i="33"/>
  <c r="J50" i="33" s="1"/>
  <c r="N27" i="31"/>
  <c r="BJ84" i="32"/>
  <c r="BJ85" i="32" s="1"/>
  <c r="BJ86" i="32" s="1"/>
  <c r="BJ87" i="32" s="1"/>
  <c r="BJ88" i="32" s="1"/>
  <c r="BJ89" i="32" s="1"/>
  <c r="BJ90" i="32" s="1"/>
  <c r="BJ91" i="32" s="1"/>
  <c r="BJ92" i="32" s="1"/>
  <c r="BJ93" i="32" s="1"/>
  <c r="BJ94" i="32" s="1"/>
  <c r="BJ95" i="32" s="1"/>
  <c r="BJ96" i="32" s="1"/>
  <c r="BJ97" i="32" s="1"/>
  <c r="BJ98" i="32" s="1"/>
  <c r="BJ99" i="32" s="1"/>
  <c r="BJ100" i="32" s="1"/>
  <c r="BJ101" i="32" s="1"/>
  <c r="BJ102" i="32" s="1"/>
  <c r="BJ103" i="32" s="1"/>
  <c r="BJ104" i="32" s="1"/>
  <c r="BJ105" i="32" s="1"/>
  <c r="BJ106" i="32" s="1"/>
  <c r="BJ83" i="32"/>
  <c r="BH85" i="32"/>
  <c r="BO85" i="32" s="1"/>
  <c r="BM84" i="32"/>
  <c r="BL84" i="32"/>
  <c r="BO84" i="32"/>
  <c r="X83" i="32"/>
  <c r="T17" i="32"/>
  <c r="T84" i="32" s="1"/>
  <c r="X39" i="32"/>
  <c r="X43" i="32" s="1"/>
  <c r="X85" i="32"/>
  <c r="X47" i="32" s="1"/>
  <c r="N17" i="32"/>
  <c r="N84" i="32" s="1"/>
  <c r="AB17" i="32"/>
  <c r="AB45" i="32" s="1"/>
  <c r="X84" i="32"/>
  <c r="X45" i="32"/>
  <c r="T46" i="32"/>
  <c r="AB46" i="31"/>
  <c r="AB82" i="31"/>
  <c r="J50" i="31"/>
  <c r="J51" i="31" s="1"/>
  <c r="V48" i="31"/>
  <c r="R83" i="33"/>
  <c r="T86" i="31"/>
  <c r="R85" i="33"/>
  <c r="R24" i="33"/>
  <c r="R26" i="33" s="1"/>
  <c r="N82" i="31"/>
  <c r="AB86" i="31"/>
  <c r="AB85" i="31"/>
  <c r="X25" i="31"/>
  <c r="X27" i="31" s="1"/>
  <c r="T25" i="31"/>
  <c r="AB84" i="31"/>
  <c r="AB25" i="31"/>
  <c r="X24" i="32"/>
  <c r="T24" i="32"/>
  <c r="T26" i="32" s="1"/>
  <c r="N24" i="32"/>
  <c r="N27" i="32" s="1"/>
  <c r="L24" i="32"/>
  <c r="L26" i="32" s="1"/>
  <c r="R83" i="32"/>
  <c r="R85" i="32"/>
  <c r="R84" i="32"/>
  <c r="R46" i="32" s="1"/>
  <c r="R49" i="32" s="1"/>
  <c r="R50" i="32" s="1"/>
  <c r="T82" i="31"/>
  <c r="N84" i="31"/>
  <c r="AB84" i="33"/>
  <c r="T85" i="33"/>
  <c r="R84" i="31"/>
  <c r="L25" i="31"/>
  <c r="L27" i="31" s="1"/>
  <c r="R85" i="31"/>
  <c r="R47" i="31" s="1"/>
  <c r="R50" i="31" s="1"/>
  <c r="R51" i="31" s="1"/>
  <c r="BI84" i="31" s="1"/>
  <c r="T24" i="33"/>
  <c r="T26" i="33" s="1"/>
  <c r="V47" i="32"/>
  <c r="V49" i="32" s="1"/>
  <c r="V50" i="32" s="1"/>
  <c r="BG84" i="32" s="1"/>
  <c r="N84" i="33"/>
  <c r="R25" i="31"/>
  <c r="R27" i="31" s="1"/>
  <c r="T47" i="31"/>
  <c r="R28" i="31"/>
  <c r="V50" i="31"/>
  <c r="V51" i="31" s="1"/>
  <c r="AB24" i="33"/>
  <c r="AB26" i="33" s="1"/>
  <c r="N24" i="33"/>
  <c r="X24" i="33"/>
  <c r="X26" i="33" s="1"/>
  <c r="N85" i="33"/>
  <c r="N83" i="33"/>
  <c r="AB27" i="33"/>
  <c r="T27" i="33"/>
  <c r="AB27" i="32"/>
  <c r="T27" i="32"/>
  <c r="H24" i="29"/>
  <c r="N28" i="29"/>
  <c r="L26" i="29"/>
  <c r="T85" i="31"/>
  <c r="T84" i="31"/>
  <c r="N17" i="29"/>
  <c r="AB83" i="33"/>
  <c r="AB85" i="33"/>
  <c r="X39" i="33"/>
  <c r="X43" i="33" s="1"/>
  <c r="X81" i="33"/>
  <c r="X84" i="33"/>
  <c r="X45" i="33"/>
  <c r="X83" i="33"/>
  <c r="X85" i="33"/>
  <c r="T84" i="33"/>
  <c r="R45" i="33"/>
  <c r="R39" i="33"/>
  <c r="R43" i="33" s="1"/>
  <c r="T46" i="33"/>
  <c r="R84" i="33"/>
  <c r="R46" i="33" s="1"/>
  <c r="T39" i="33"/>
  <c r="T43" i="33" s="1"/>
  <c r="T45" i="33"/>
  <c r="T81" i="33"/>
  <c r="R81" i="33"/>
  <c r="T83" i="33"/>
  <c r="L49" i="33"/>
  <c r="L50" i="33" s="1"/>
  <c r="BH86" i="33"/>
  <c r="BO85" i="33"/>
  <c r="BM85" i="33"/>
  <c r="BG85" i="33"/>
  <c r="BN85" i="33"/>
  <c r="BL85" i="33"/>
  <c r="AB81" i="33"/>
  <c r="AB45" i="33"/>
  <c r="AB39" i="33"/>
  <c r="AB43" i="33" s="1"/>
  <c r="J49" i="32"/>
  <c r="J50" i="32" s="1"/>
  <c r="L84" i="32"/>
  <c r="L46" i="32" s="1"/>
  <c r="L85" i="32"/>
  <c r="L83" i="32"/>
  <c r="L81" i="32"/>
  <c r="L45" i="32"/>
  <c r="L39" i="32"/>
  <c r="L43" i="32" s="1"/>
  <c r="L27" i="29"/>
  <c r="J21" i="29"/>
  <c r="J28" i="29" s="1"/>
  <c r="N85" i="31"/>
  <c r="N86" i="31"/>
  <c r="L86" i="31"/>
  <c r="L84" i="31"/>
  <c r="L82" i="31"/>
  <c r="L46" i="31"/>
  <c r="L40" i="31"/>
  <c r="L44" i="31" s="1"/>
  <c r="L85" i="31"/>
  <c r="BH86" i="31"/>
  <c r="BO85" i="31"/>
  <c r="BM85" i="31"/>
  <c r="BJ85" i="31"/>
  <c r="BJ86" i="31" s="1"/>
  <c r="BJ87" i="31" s="1"/>
  <c r="BJ88" i="31" s="1"/>
  <c r="BJ89" i="31" s="1"/>
  <c r="BJ90" i="31" s="1"/>
  <c r="BJ91" i="31" s="1"/>
  <c r="BJ92" i="31" s="1"/>
  <c r="BJ93" i="31" s="1"/>
  <c r="BJ94" i="31" s="1"/>
  <c r="BJ95" i="31" s="1"/>
  <c r="BJ96" i="31" s="1"/>
  <c r="BJ97" i="31" s="1"/>
  <c r="BJ98" i="31" s="1"/>
  <c r="BJ99" i="31" s="1"/>
  <c r="BJ100" i="31" s="1"/>
  <c r="BJ101" i="31" s="1"/>
  <c r="BJ102" i="31" s="1"/>
  <c r="BJ103" i="31" s="1"/>
  <c r="BJ104" i="31" s="1"/>
  <c r="BJ105" i="31" s="1"/>
  <c r="BJ106" i="31" s="1"/>
  <c r="BJ107" i="31" s="1"/>
  <c r="BG85" i="31"/>
  <c r="BN85" i="31"/>
  <c r="BL85" i="31"/>
  <c r="X85" i="31"/>
  <c r="X86" i="31"/>
  <c r="X84" i="31"/>
  <c r="X82" i="31"/>
  <c r="X46" i="31"/>
  <c r="X40" i="31"/>
  <c r="X44" i="31" s="1"/>
  <c r="N46" i="31"/>
  <c r="N40" i="31"/>
  <c r="N44" i="31" s="1"/>
  <c r="T46" i="31"/>
  <c r="T40" i="31"/>
  <c r="T44" i="31" s="1"/>
  <c r="L21" i="29"/>
  <c r="L28" i="29" s="1"/>
  <c r="J27" i="29"/>
  <c r="F24" i="29"/>
  <c r="J26" i="29"/>
  <c r="J39" i="29"/>
  <c r="J43" i="29" s="1"/>
  <c r="J45" i="29"/>
  <c r="J81" i="29"/>
  <c r="J83" i="29"/>
  <c r="AU84" i="29"/>
  <c r="J85" i="29"/>
  <c r="L17" i="29"/>
  <c r="L83" i="29" s="1"/>
  <c r="N24" i="29" l="1"/>
  <c r="N26" i="29" s="1"/>
  <c r="N81" i="29"/>
  <c r="N47" i="31"/>
  <c r="AB48" i="31"/>
  <c r="AB50" i="31" s="1"/>
  <c r="AB51" i="31" s="1"/>
  <c r="AB28" i="31"/>
  <c r="AB27" i="31"/>
  <c r="T28" i="31"/>
  <c r="T27" i="31"/>
  <c r="BH86" i="32"/>
  <c r="BM86" i="32" s="1"/>
  <c r="BN85" i="32"/>
  <c r="BL85" i="32"/>
  <c r="BM85" i="32"/>
  <c r="T81" i="32"/>
  <c r="BG85" i="32"/>
  <c r="T83" i="32"/>
  <c r="T39" i="32"/>
  <c r="T43" i="32" s="1"/>
  <c r="T45" i="32"/>
  <c r="T85" i="32"/>
  <c r="T47" i="32" s="1"/>
  <c r="AB84" i="32"/>
  <c r="BG83" i="32"/>
  <c r="AB81" i="32"/>
  <c r="N81" i="32"/>
  <c r="AB83" i="32"/>
  <c r="AB39" i="32"/>
  <c r="AB43" i="32" s="1"/>
  <c r="AB85" i="32"/>
  <c r="AB47" i="32" s="1"/>
  <c r="AB49" i="32" s="1"/>
  <c r="N39" i="32"/>
  <c r="N43" i="32" s="1"/>
  <c r="N45" i="32"/>
  <c r="N85" i="32"/>
  <c r="N47" i="32" s="1"/>
  <c r="X49" i="32"/>
  <c r="X50" i="32" s="1"/>
  <c r="BI83" i="32" s="1"/>
  <c r="N83" i="32"/>
  <c r="N26" i="32"/>
  <c r="N48" i="31"/>
  <c r="L49" i="32"/>
  <c r="L50" i="32" s="1"/>
  <c r="J46" i="29"/>
  <c r="J49" i="29" s="1"/>
  <c r="J50" i="29" s="1"/>
  <c r="AT83" i="29" s="1"/>
  <c r="N46" i="33"/>
  <c r="N26" i="33"/>
  <c r="N27" i="33"/>
  <c r="X48" i="31"/>
  <c r="X50" i="31" s="1"/>
  <c r="X51" i="31" s="1"/>
  <c r="T48" i="31"/>
  <c r="T50" i="31" s="1"/>
  <c r="L47" i="31"/>
  <c r="L50" i="31" s="1"/>
  <c r="L51" i="31" s="1"/>
  <c r="AB47" i="33"/>
  <c r="AB49" i="33" s="1"/>
  <c r="AB50" i="33" s="1"/>
  <c r="BI83" i="33" s="1"/>
  <c r="N47" i="33"/>
  <c r="X47" i="33"/>
  <c r="X49" i="33" s="1"/>
  <c r="X50" i="33" s="1"/>
  <c r="T47" i="33"/>
  <c r="T49" i="33" s="1"/>
  <c r="T50" i="33" s="1"/>
  <c r="BK83" i="33" s="1"/>
  <c r="N27" i="29"/>
  <c r="N85" i="29"/>
  <c r="N84" i="29"/>
  <c r="N83" i="29"/>
  <c r="R49" i="33"/>
  <c r="R50" i="33" s="1"/>
  <c r="BN86" i="33"/>
  <c r="BL86" i="33"/>
  <c r="BH87" i="33"/>
  <c r="BO86" i="33"/>
  <c r="BM86" i="33"/>
  <c r="BG86" i="33"/>
  <c r="BN86" i="31"/>
  <c r="BL86" i="31"/>
  <c r="BH87" i="31"/>
  <c r="BO86" i="31"/>
  <c r="BM86" i="31"/>
  <c r="BG86" i="31"/>
  <c r="L85" i="29"/>
  <c r="L81" i="29"/>
  <c r="L45" i="29"/>
  <c r="L39" i="29"/>
  <c r="L43" i="29" s="1"/>
  <c r="L84" i="29"/>
  <c r="AU85" i="29"/>
  <c r="BB84" i="29"/>
  <c r="AZ84" i="29"/>
  <c r="AW84" i="29"/>
  <c r="AW85" i="29" s="1"/>
  <c r="AW86" i="29" s="1"/>
  <c r="AW87" i="29" s="1"/>
  <c r="AW88" i="29" s="1"/>
  <c r="AW89" i="29" s="1"/>
  <c r="AW90" i="29" s="1"/>
  <c r="AW91" i="29" s="1"/>
  <c r="AW92" i="29" s="1"/>
  <c r="AW93" i="29" s="1"/>
  <c r="AW94" i="29" s="1"/>
  <c r="AW95" i="29" s="1"/>
  <c r="AW96" i="29" s="1"/>
  <c r="AW97" i="29" s="1"/>
  <c r="AW98" i="29" s="1"/>
  <c r="AW99" i="29" s="1"/>
  <c r="AW100" i="29" s="1"/>
  <c r="AW101" i="29" s="1"/>
  <c r="AW102" i="29" s="1"/>
  <c r="AW103" i="29" s="1"/>
  <c r="AW104" i="29" s="1"/>
  <c r="AW105" i="29" s="1"/>
  <c r="AW106" i="29" s="1"/>
  <c r="BA84" i="29"/>
  <c r="AY84" i="29"/>
  <c r="N45" i="29"/>
  <c r="N39" i="29"/>
  <c r="N43" i="29" s="1"/>
  <c r="N46" i="29" l="1"/>
  <c r="T51" i="31"/>
  <c r="BK84" i="31" s="1"/>
  <c r="N50" i="31"/>
  <c r="N51" i="31" s="1"/>
  <c r="BH87" i="32"/>
  <c r="BH88" i="32" s="1"/>
  <c r="BN86" i="32"/>
  <c r="BO86" i="32"/>
  <c r="BL86" i="32"/>
  <c r="BG86" i="32"/>
  <c r="T49" i="32"/>
  <c r="T50" i="32" s="1"/>
  <c r="BK83" i="32" s="1"/>
  <c r="AB50" i="32"/>
  <c r="N46" i="32"/>
  <c r="N49" i="32" s="1"/>
  <c r="N50" i="32" s="1"/>
  <c r="AT85" i="29"/>
  <c r="AT84" i="29"/>
  <c r="L46" i="29"/>
  <c r="L49" i="29" s="1"/>
  <c r="N49" i="33"/>
  <c r="N50" i="33" s="1"/>
  <c r="N47" i="29"/>
  <c r="BH88" i="33"/>
  <c r="BO87" i="33"/>
  <c r="BM87" i="33"/>
  <c r="BG87" i="33"/>
  <c r="BN87" i="33"/>
  <c r="BL87" i="33"/>
  <c r="BH88" i="31"/>
  <c r="BO87" i="31"/>
  <c r="BM87" i="31"/>
  <c r="BG87" i="31"/>
  <c r="BN87" i="31"/>
  <c r="BL87" i="31"/>
  <c r="BA85" i="29"/>
  <c r="AY85" i="29"/>
  <c r="AU86" i="29"/>
  <c r="AT86" i="29" s="1"/>
  <c r="BB85" i="29"/>
  <c r="AZ85" i="29"/>
  <c r="BL87" i="32" l="1"/>
  <c r="BN87" i="32"/>
  <c r="BG87" i="32"/>
  <c r="BM87" i="32"/>
  <c r="BO87" i="32"/>
  <c r="N49" i="29"/>
  <c r="N50" i="29" s="1"/>
  <c r="AX83" i="29" s="1"/>
  <c r="BN88" i="33"/>
  <c r="BL88" i="33"/>
  <c r="BH89" i="33"/>
  <c r="BO88" i="33"/>
  <c r="BM88" i="33"/>
  <c r="BG88" i="33"/>
  <c r="BN88" i="32"/>
  <c r="BL88" i="32"/>
  <c r="BH89" i="32"/>
  <c r="BO88" i="32"/>
  <c r="BM88" i="32"/>
  <c r="BG88" i="32"/>
  <c r="BN88" i="31"/>
  <c r="BL88" i="31"/>
  <c r="BH89" i="31"/>
  <c r="BO88" i="31"/>
  <c r="BM88" i="31"/>
  <c r="BG88" i="31"/>
  <c r="L50" i="29"/>
  <c r="AV83" i="29" s="1"/>
  <c r="AU87" i="29"/>
  <c r="AT87" i="29" s="1"/>
  <c r="BB86" i="29"/>
  <c r="AZ86" i="29"/>
  <c r="BA86" i="29"/>
  <c r="AY86" i="29"/>
  <c r="BH90" i="33" l="1"/>
  <c r="BO89" i="33"/>
  <c r="BM89" i="33"/>
  <c r="BG89" i="33"/>
  <c r="BN89" i="33"/>
  <c r="BL89" i="33"/>
  <c r="BH90" i="32"/>
  <c r="BO89" i="32"/>
  <c r="BM89" i="32"/>
  <c r="BG89" i="32"/>
  <c r="BN89" i="32"/>
  <c r="BL89" i="32"/>
  <c r="BH90" i="31"/>
  <c r="BO89" i="31"/>
  <c r="BM89" i="31"/>
  <c r="BG89" i="31"/>
  <c r="BN89" i="31"/>
  <c r="BL89" i="31"/>
  <c r="BA87" i="29"/>
  <c r="AY87" i="29"/>
  <c r="AU88" i="29"/>
  <c r="AT88" i="29" s="1"/>
  <c r="BB87" i="29"/>
  <c r="AZ87" i="29"/>
  <c r="BN90" i="33" l="1"/>
  <c r="BL90" i="33"/>
  <c r="BH91" i="33"/>
  <c r="BO90" i="33"/>
  <c r="BM90" i="33"/>
  <c r="BG90" i="33"/>
  <c r="BN90" i="32"/>
  <c r="BL90" i="32"/>
  <c r="BH91" i="32"/>
  <c r="BO90" i="32"/>
  <c r="BM90" i="32"/>
  <c r="BG90" i="32"/>
  <c r="BN90" i="31"/>
  <c r="BL90" i="31"/>
  <c r="BH91" i="31"/>
  <c r="BO90" i="31"/>
  <c r="BM90" i="31"/>
  <c r="BG90" i="31"/>
  <c r="AU89" i="29"/>
  <c r="AT89" i="29" s="1"/>
  <c r="BB88" i="29"/>
  <c r="AZ88" i="29"/>
  <c r="BA88" i="29"/>
  <c r="AY88" i="29"/>
  <c r="BH92" i="33" l="1"/>
  <c r="BO91" i="33"/>
  <c r="BM91" i="33"/>
  <c r="BG91" i="33"/>
  <c r="BN91" i="33"/>
  <c r="BL91" i="33"/>
  <c r="BH92" i="32"/>
  <c r="BO91" i="32"/>
  <c r="BM91" i="32"/>
  <c r="BG91" i="32"/>
  <c r="BN91" i="32"/>
  <c r="BL91" i="32"/>
  <c r="BH92" i="31"/>
  <c r="BO91" i="31"/>
  <c r="BM91" i="31"/>
  <c r="BG91" i="31"/>
  <c r="BN91" i="31"/>
  <c r="BL91" i="31"/>
  <c r="BA89" i="29"/>
  <c r="AY89" i="29"/>
  <c r="AU90" i="29"/>
  <c r="AT90" i="29" s="1"/>
  <c r="BB89" i="29"/>
  <c r="AZ89" i="29"/>
  <c r="BN92" i="33" l="1"/>
  <c r="BL92" i="33"/>
  <c r="BH93" i="33"/>
  <c r="BO92" i="33"/>
  <c r="BM92" i="33"/>
  <c r="BG92" i="33"/>
  <c r="BN92" i="32"/>
  <c r="BL92" i="32"/>
  <c r="BH93" i="32"/>
  <c r="BO92" i="32"/>
  <c r="BM92" i="32"/>
  <c r="BG92" i="32"/>
  <c r="BN92" i="31"/>
  <c r="BL92" i="31"/>
  <c r="BH93" i="31"/>
  <c r="BO92" i="31"/>
  <c r="BM92" i="31"/>
  <c r="BG92" i="31"/>
  <c r="AU91" i="29"/>
  <c r="AT91" i="29" s="1"/>
  <c r="BB90" i="29"/>
  <c r="AZ90" i="29"/>
  <c r="BA90" i="29"/>
  <c r="AY90" i="29"/>
  <c r="BH94" i="33" l="1"/>
  <c r="BO93" i="33"/>
  <c r="BM93" i="33"/>
  <c r="BG93" i="33"/>
  <c r="BN93" i="33"/>
  <c r="BL93" i="33"/>
  <c r="BH94" i="32"/>
  <c r="BO93" i="32"/>
  <c r="BM93" i="32"/>
  <c r="BG93" i="32"/>
  <c r="BN93" i="32"/>
  <c r="BL93" i="32"/>
  <c r="BH94" i="31"/>
  <c r="BO93" i="31"/>
  <c r="BM93" i="31"/>
  <c r="BG93" i="31"/>
  <c r="BN93" i="31"/>
  <c r="BL93" i="31"/>
  <c r="BA91" i="29"/>
  <c r="AY91" i="29"/>
  <c r="AU92" i="29"/>
  <c r="AT92" i="29" s="1"/>
  <c r="BB91" i="29"/>
  <c r="AZ91" i="29"/>
  <c r="BN94" i="33" l="1"/>
  <c r="BL94" i="33"/>
  <c r="BH95" i="33"/>
  <c r="BO94" i="33"/>
  <c r="BM94" i="33"/>
  <c r="BG94" i="33"/>
  <c r="BN94" i="32"/>
  <c r="BL94" i="32"/>
  <c r="BH95" i="32"/>
  <c r="BO94" i="32"/>
  <c r="BM94" i="32"/>
  <c r="BG94" i="32"/>
  <c r="BN94" i="31"/>
  <c r="BL94" i="31"/>
  <c r="BH95" i="31"/>
  <c r="BO94" i="31"/>
  <c r="BM94" i="31"/>
  <c r="BG94" i="31"/>
  <c r="AU93" i="29"/>
  <c r="AT93" i="29" s="1"/>
  <c r="BB92" i="29"/>
  <c r="AZ92" i="29"/>
  <c r="BA92" i="29"/>
  <c r="AY92" i="29"/>
  <c r="BH96" i="33" l="1"/>
  <c r="BO95" i="33"/>
  <c r="BM95" i="33"/>
  <c r="BG95" i="33"/>
  <c r="BN95" i="33"/>
  <c r="BL95" i="33"/>
  <c r="BH96" i="32"/>
  <c r="BO95" i="32"/>
  <c r="BM95" i="32"/>
  <c r="BG95" i="32"/>
  <c r="BN95" i="32"/>
  <c r="BL95" i="32"/>
  <c r="BH96" i="31"/>
  <c r="BO95" i="31"/>
  <c r="BM95" i="31"/>
  <c r="BG95" i="31"/>
  <c r="BN95" i="31"/>
  <c r="BL95" i="31"/>
  <c r="BA93" i="29"/>
  <c r="AY93" i="29"/>
  <c r="AU94" i="29"/>
  <c r="AT94" i="29" s="1"/>
  <c r="BB93" i="29"/>
  <c r="AZ93" i="29"/>
  <c r="BN96" i="33" l="1"/>
  <c r="BL96" i="33"/>
  <c r="BH97" i="33"/>
  <c r="BO96" i="33"/>
  <c r="BM96" i="33"/>
  <c r="BG96" i="33"/>
  <c r="BN96" i="32"/>
  <c r="BL96" i="32"/>
  <c r="BH97" i="32"/>
  <c r="BO96" i="32"/>
  <c r="BM96" i="32"/>
  <c r="BG96" i="32"/>
  <c r="BN96" i="31"/>
  <c r="BL96" i="31"/>
  <c r="BH97" i="31"/>
  <c r="BO96" i="31"/>
  <c r="BM96" i="31"/>
  <c r="BG96" i="31"/>
  <c r="AU95" i="29"/>
  <c r="AT95" i="29" s="1"/>
  <c r="BB94" i="29"/>
  <c r="AZ94" i="29"/>
  <c r="BA94" i="29"/>
  <c r="AY94" i="29"/>
  <c r="BH98" i="33" l="1"/>
  <c r="BO97" i="33"/>
  <c r="BM97" i="33"/>
  <c r="BG97" i="33"/>
  <c r="BN97" i="33"/>
  <c r="BL97" i="33"/>
  <c r="BH98" i="32"/>
  <c r="BO97" i="32"/>
  <c r="BM97" i="32"/>
  <c r="BG97" i="32"/>
  <c r="BN97" i="32"/>
  <c r="BL97" i="32"/>
  <c r="BH98" i="31"/>
  <c r="BO97" i="31"/>
  <c r="BM97" i="31"/>
  <c r="BG97" i="31"/>
  <c r="BN97" i="31"/>
  <c r="BL97" i="31"/>
  <c r="BA95" i="29"/>
  <c r="AY95" i="29"/>
  <c r="AU96" i="29"/>
  <c r="AT96" i="29" s="1"/>
  <c r="BB95" i="29"/>
  <c r="AZ95" i="29"/>
  <c r="BN98" i="33" l="1"/>
  <c r="BL98" i="33"/>
  <c r="BH99" i="33"/>
  <c r="BO98" i="33"/>
  <c r="BM98" i="33"/>
  <c r="BG98" i="33"/>
  <c r="BN98" i="32"/>
  <c r="BL98" i="32"/>
  <c r="BH99" i="32"/>
  <c r="BO98" i="32"/>
  <c r="BM98" i="32"/>
  <c r="BG98" i="32"/>
  <c r="BN98" i="31"/>
  <c r="BL98" i="31"/>
  <c r="BH99" i="31"/>
  <c r="BG99" i="31" s="1"/>
  <c r="BO98" i="31"/>
  <c r="BM98" i="31"/>
  <c r="BG98" i="31"/>
  <c r="AU97" i="29"/>
  <c r="AT97" i="29" s="1"/>
  <c r="BB96" i="29"/>
  <c r="AZ96" i="29"/>
  <c r="BA96" i="29"/>
  <c r="AY96" i="29"/>
  <c r="BH100" i="33" l="1"/>
  <c r="BO99" i="33"/>
  <c r="BM99" i="33"/>
  <c r="BG99" i="33"/>
  <c r="BN99" i="33"/>
  <c r="BL99" i="33"/>
  <c r="BH100" i="32"/>
  <c r="BO99" i="32"/>
  <c r="BM99" i="32"/>
  <c r="BG99" i="32"/>
  <c r="BN99" i="32"/>
  <c r="BL99" i="32"/>
  <c r="BH100" i="31"/>
  <c r="BO99" i="31"/>
  <c r="BM99" i="31"/>
  <c r="BN99" i="31"/>
  <c r="BL99" i="31"/>
  <c r="BA97" i="29"/>
  <c r="AY97" i="29"/>
  <c r="AU98" i="29"/>
  <c r="AT98" i="29" s="1"/>
  <c r="BB97" i="29"/>
  <c r="AZ97" i="29"/>
  <c r="BN100" i="33" l="1"/>
  <c r="BL100" i="33"/>
  <c r="BH101" i="33"/>
  <c r="BO100" i="33"/>
  <c r="BM100" i="33"/>
  <c r="BG100" i="33"/>
  <c r="BN100" i="32"/>
  <c r="BL100" i="32"/>
  <c r="BH101" i="32"/>
  <c r="BO100" i="32"/>
  <c r="BM100" i="32"/>
  <c r="BG100" i="32"/>
  <c r="BN100" i="31"/>
  <c r="BL100" i="31"/>
  <c r="BH101" i="31"/>
  <c r="BG101" i="31" s="1"/>
  <c r="BO100" i="31"/>
  <c r="BM100" i="31"/>
  <c r="BG100" i="31"/>
  <c r="AU99" i="29"/>
  <c r="AT99" i="29" s="1"/>
  <c r="BB98" i="29"/>
  <c r="AZ98" i="29"/>
  <c r="BA98" i="29"/>
  <c r="AY98" i="29"/>
  <c r="BH102" i="33" l="1"/>
  <c r="BO101" i="33"/>
  <c r="BM101" i="33"/>
  <c r="BG101" i="33"/>
  <c r="BN101" i="33"/>
  <c r="BL101" i="33"/>
  <c r="BH102" i="32"/>
  <c r="BO101" i="32"/>
  <c r="BM101" i="32"/>
  <c r="BG101" i="32"/>
  <c r="BN101" i="32"/>
  <c r="BL101" i="32"/>
  <c r="BH102" i="31"/>
  <c r="BG102" i="31" s="1"/>
  <c r="BO101" i="31"/>
  <c r="BM101" i="31"/>
  <c r="BN101" i="31"/>
  <c r="BL101" i="31"/>
  <c r="BA99" i="29"/>
  <c r="AY99" i="29"/>
  <c r="AU100" i="29"/>
  <c r="AT100" i="29" s="1"/>
  <c r="BB99" i="29"/>
  <c r="AZ99" i="29"/>
  <c r="BN102" i="33" l="1"/>
  <c r="BL102" i="33"/>
  <c r="BH103" i="33"/>
  <c r="BO102" i="33"/>
  <c r="BM102" i="33"/>
  <c r="BG102" i="33"/>
  <c r="BN102" i="32"/>
  <c r="BL102" i="32"/>
  <c r="BH103" i="32"/>
  <c r="BO102" i="32"/>
  <c r="BM102" i="32"/>
  <c r="BG102" i="32"/>
  <c r="BN102" i="31"/>
  <c r="BL102" i="31"/>
  <c r="BH103" i="31"/>
  <c r="BG103" i="31" s="1"/>
  <c r="BO102" i="31"/>
  <c r="BM102" i="31"/>
  <c r="AU101" i="29"/>
  <c r="BB100" i="29"/>
  <c r="AZ100" i="29"/>
  <c r="BA100" i="29"/>
  <c r="AY100" i="29"/>
  <c r="AZ101" i="29" l="1"/>
  <c r="AT101" i="29"/>
  <c r="BH104" i="33"/>
  <c r="BO103" i="33"/>
  <c r="BM103" i="33"/>
  <c r="BG103" i="33"/>
  <c r="BN103" i="33"/>
  <c r="BL103" i="33"/>
  <c r="BH104" i="32"/>
  <c r="BO103" i="32"/>
  <c r="BM103" i="32"/>
  <c r="BG103" i="32"/>
  <c r="BN103" i="32"/>
  <c r="BL103" i="32"/>
  <c r="BH104" i="31"/>
  <c r="BG104" i="31" s="1"/>
  <c r="BO103" i="31"/>
  <c r="BM103" i="31"/>
  <c r="BN103" i="31"/>
  <c r="BL103" i="31"/>
  <c r="BA101" i="29"/>
  <c r="AY101" i="29"/>
  <c r="AU102" i="29"/>
  <c r="AT102" i="29" s="1"/>
  <c r="BB101" i="29"/>
  <c r="BN104" i="33" l="1"/>
  <c r="BL104" i="33"/>
  <c r="BH105" i="33"/>
  <c r="BO104" i="33"/>
  <c r="BM104" i="33"/>
  <c r="BG104" i="33"/>
  <c r="BN104" i="32"/>
  <c r="BL104" i="32"/>
  <c r="BH105" i="32"/>
  <c r="BO104" i="32"/>
  <c r="BM104" i="32"/>
  <c r="BG104" i="32"/>
  <c r="BN104" i="31"/>
  <c r="BL104" i="31"/>
  <c r="BH105" i="31"/>
  <c r="BG105" i="31" s="1"/>
  <c r="BO104" i="31"/>
  <c r="BM104" i="31"/>
  <c r="AU103" i="29"/>
  <c r="AT103" i="29" s="1"/>
  <c r="BB102" i="29"/>
  <c r="AZ102" i="29"/>
  <c r="BA102" i="29"/>
  <c r="AY102" i="29"/>
  <c r="BH106" i="33" l="1"/>
  <c r="BO105" i="33"/>
  <c r="BM105" i="33"/>
  <c r="BG105" i="33"/>
  <c r="BN105" i="33"/>
  <c r="BL105" i="33"/>
  <c r="BH106" i="32"/>
  <c r="BO105" i="32"/>
  <c r="BM105" i="32"/>
  <c r="BG105" i="32"/>
  <c r="BN105" i="32"/>
  <c r="BL105" i="32"/>
  <c r="BH106" i="31"/>
  <c r="BG106" i="31" s="1"/>
  <c r="BO105" i="31"/>
  <c r="BM105" i="31"/>
  <c r="BN105" i="31"/>
  <c r="BL105" i="31"/>
  <c r="BA103" i="29"/>
  <c r="AY103" i="29"/>
  <c r="AU104" i="29"/>
  <c r="AT104" i="29" s="1"/>
  <c r="BB103" i="29"/>
  <c r="AZ103" i="29"/>
  <c r="BN106" i="33" l="1"/>
  <c r="BL106" i="33"/>
  <c r="BH107" i="33"/>
  <c r="BO106" i="33"/>
  <c r="BM106" i="33"/>
  <c r="BG106" i="33"/>
  <c r="BN106" i="32"/>
  <c r="BL106" i="32"/>
  <c r="BH107" i="32"/>
  <c r="BO106" i="32"/>
  <c r="BM106" i="32"/>
  <c r="BG106" i="32"/>
  <c r="BN106" i="31"/>
  <c r="BL106" i="31"/>
  <c r="BH107" i="31"/>
  <c r="BG107" i="31" s="1"/>
  <c r="BO106" i="31"/>
  <c r="BM106" i="31"/>
  <c r="AU105" i="29"/>
  <c r="AT105" i="29" s="1"/>
  <c r="BB104" i="29"/>
  <c r="AZ104" i="29"/>
  <c r="BA104" i="29"/>
  <c r="AY104" i="29"/>
  <c r="BH108" i="33" l="1"/>
  <c r="BO107" i="33"/>
  <c r="BM107" i="33"/>
  <c r="BJ107" i="33"/>
  <c r="BG107" i="33"/>
  <c r="BN107" i="33"/>
  <c r="BL107" i="33"/>
  <c r="BH108" i="32"/>
  <c r="BO107" i="32"/>
  <c r="BM107" i="32"/>
  <c r="BJ107" i="32"/>
  <c r="BG107" i="32"/>
  <c r="BN107" i="32"/>
  <c r="BL107" i="32"/>
  <c r="BH108" i="31"/>
  <c r="BG108" i="31" s="1"/>
  <c r="BO107" i="31"/>
  <c r="BM107" i="31"/>
  <c r="BN107" i="31"/>
  <c r="BL107" i="31"/>
  <c r="BA105" i="29"/>
  <c r="AY105" i="29"/>
  <c r="AU106" i="29"/>
  <c r="AT106" i="29" s="1"/>
  <c r="BB105" i="29"/>
  <c r="AZ105" i="29"/>
  <c r="BN108" i="33" l="1"/>
  <c r="BL108" i="33"/>
  <c r="BH109" i="33"/>
  <c r="BO108" i="33"/>
  <c r="BM108" i="33"/>
  <c r="BJ108" i="33"/>
  <c r="BG108" i="33"/>
  <c r="BN108" i="32"/>
  <c r="BL108" i="32"/>
  <c r="BH109" i="32"/>
  <c r="BO108" i="32"/>
  <c r="BM108" i="32"/>
  <c r="BJ108" i="32"/>
  <c r="BG108" i="32"/>
  <c r="BN108" i="31"/>
  <c r="BL108" i="31"/>
  <c r="BH109" i="31"/>
  <c r="BG109" i="31" s="1"/>
  <c r="BO108" i="31"/>
  <c r="BM108" i="31"/>
  <c r="BJ108" i="31"/>
  <c r="AU107" i="29"/>
  <c r="AT107" i="29" s="1"/>
  <c r="BB106" i="29"/>
  <c r="AZ106" i="29"/>
  <c r="BA106" i="29"/>
  <c r="AY106" i="29"/>
  <c r="BH110" i="33" l="1"/>
  <c r="BO109" i="33"/>
  <c r="BM109" i="33"/>
  <c r="BJ109" i="33"/>
  <c r="BG109" i="33"/>
  <c r="BN109" i="33"/>
  <c r="BL109" i="33"/>
  <c r="BH110" i="32"/>
  <c r="BL110" i="32" s="1"/>
  <c r="BO109" i="32"/>
  <c r="BM109" i="32"/>
  <c r="BJ109" i="32"/>
  <c r="BG109" i="32"/>
  <c r="BN109" i="32"/>
  <c r="BL109" i="32"/>
  <c r="BH110" i="31"/>
  <c r="BG110" i="31" s="1"/>
  <c r="BO109" i="31"/>
  <c r="BM109" i="31"/>
  <c r="BJ109" i="31"/>
  <c r="BN109" i="31"/>
  <c r="BL109" i="31"/>
  <c r="BA107" i="29"/>
  <c r="AY107" i="29"/>
  <c r="AU108" i="29"/>
  <c r="AT108" i="29" s="1"/>
  <c r="BB107" i="29"/>
  <c r="AZ107" i="29"/>
  <c r="AW107" i="29"/>
  <c r="BN110" i="33" l="1"/>
  <c r="BL110" i="33"/>
  <c r="BH111" i="33"/>
  <c r="BO110" i="33"/>
  <c r="BM110" i="33"/>
  <c r="BJ110" i="33"/>
  <c r="BG110" i="33"/>
  <c r="BN110" i="32"/>
  <c r="BH111" i="32"/>
  <c r="BO110" i="32"/>
  <c r="BM110" i="32"/>
  <c r="BJ110" i="32"/>
  <c r="BG110" i="32"/>
  <c r="BH111" i="31"/>
  <c r="BG111" i="31" s="1"/>
  <c r="BO110" i="31"/>
  <c r="BM110" i="31"/>
  <c r="BJ110" i="31"/>
  <c r="BN110" i="31"/>
  <c r="BL110" i="31"/>
  <c r="AU109" i="29"/>
  <c r="AT109" i="29" s="1"/>
  <c r="BB108" i="29"/>
  <c r="BA108" i="29"/>
  <c r="AZ108" i="29"/>
  <c r="AW108" i="29"/>
  <c r="AY108" i="29"/>
  <c r="BH112" i="33" l="1"/>
  <c r="BO111" i="33"/>
  <c r="BM111" i="33"/>
  <c r="BJ111" i="33"/>
  <c r="BG111" i="33"/>
  <c r="BN111" i="33"/>
  <c r="BL111" i="33"/>
  <c r="BH112" i="32"/>
  <c r="BO111" i="32"/>
  <c r="BM111" i="32"/>
  <c r="BJ111" i="32"/>
  <c r="BG111" i="32"/>
  <c r="BN111" i="32"/>
  <c r="BL111" i="32"/>
  <c r="BN111" i="31"/>
  <c r="BL111" i="31"/>
  <c r="BH112" i="31"/>
  <c r="BG112" i="31" s="1"/>
  <c r="BO111" i="31"/>
  <c r="BM111" i="31"/>
  <c r="BJ111" i="31"/>
  <c r="BA109" i="29"/>
  <c r="AY109" i="29"/>
  <c r="AU110" i="29"/>
  <c r="AT110" i="29" s="1"/>
  <c r="BB109" i="29"/>
  <c r="AZ109" i="29"/>
  <c r="AW109" i="29"/>
  <c r="BN112" i="33" l="1"/>
  <c r="BL112" i="33"/>
  <c r="BH113" i="33"/>
  <c r="BO112" i="33"/>
  <c r="BM112" i="33"/>
  <c r="BJ112" i="33"/>
  <c r="BG112" i="33"/>
  <c r="BN112" i="32"/>
  <c r="BL112" i="32"/>
  <c r="BH113" i="32"/>
  <c r="BO112" i="32"/>
  <c r="BM112" i="32"/>
  <c r="BJ112" i="32"/>
  <c r="BG112" i="32"/>
  <c r="BH113" i="31"/>
  <c r="BG113" i="31" s="1"/>
  <c r="BO112" i="31"/>
  <c r="BM112" i="31"/>
  <c r="BJ112" i="31"/>
  <c r="BN112" i="31"/>
  <c r="BL112" i="31"/>
  <c r="AU111" i="29"/>
  <c r="AT111" i="29" s="1"/>
  <c r="BB110" i="29"/>
  <c r="AZ110" i="29"/>
  <c r="AW110" i="29"/>
  <c r="BA110" i="29"/>
  <c r="AY110" i="29"/>
  <c r="BH114" i="33" l="1"/>
  <c r="BO113" i="33"/>
  <c r="BM113" i="33"/>
  <c r="BJ113" i="33"/>
  <c r="BG113" i="33"/>
  <c r="BN113" i="33"/>
  <c r="BL113" i="33"/>
  <c r="BH114" i="32"/>
  <c r="BO113" i="32"/>
  <c r="BM113" i="32"/>
  <c r="BJ113" i="32"/>
  <c r="BG113" i="32"/>
  <c r="BN113" i="32"/>
  <c r="BL113" i="32"/>
  <c r="BN113" i="31"/>
  <c r="BL113" i="31"/>
  <c r="BH114" i="31"/>
  <c r="BG114" i="31" s="1"/>
  <c r="BO113" i="31"/>
  <c r="BM113" i="31"/>
  <c r="BJ113" i="31"/>
  <c r="BA111" i="29"/>
  <c r="AY111" i="29"/>
  <c r="AU112" i="29"/>
  <c r="AT112" i="29" s="1"/>
  <c r="BB111" i="29"/>
  <c r="AZ111" i="29"/>
  <c r="AW111" i="29"/>
  <c r="BN114" i="33" l="1"/>
  <c r="BL114" i="33"/>
  <c r="BH115" i="33"/>
  <c r="BO114" i="33"/>
  <c r="BM114" i="33"/>
  <c r="BJ114" i="33"/>
  <c r="BG114" i="33"/>
  <c r="BN114" i="32"/>
  <c r="BL114" i="32"/>
  <c r="BH115" i="32"/>
  <c r="BO114" i="32"/>
  <c r="BM114" i="32"/>
  <c r="BJ114" i="32"/>
  <c r="BG114" i="32"/>
  <c r="BH115" i="31"/>
  <c r="BG115" i="31" s="1"/>
  <c r="BO114" i="31"/>
  <c r="BM114" i="31"/>
  <c r="BJ114" i="31"/>
  <c r="BN114" i="31"/>
  <c r="BL114" i="31"/>
  <c r="AU113" i="29"/>
  <c r="AT113" i="29" s="1"/>
  <c r="BB112" i="29"/>
  <c r="AZ112" i="29"/>
  <c r="AW112" i="29"/>
  <c r="BA112" i="29"/>
  <c r="AY112" i="29"/>
  <c r="BH116" i="33" l="1"/>
  <c r="BO115" i="33"/>
  <c r="BM115" i="33"/>
  <c r="BJ115" i="33"/>
  <c r="BG115" i="33"/>
  <c r="BN115" i="33"/>
  <c r="BL115" i="33"/>
  <c r="BH116" i="32"/>
  <c r="BO115" i="32"/>
  <c r="BM115" i="32"/>
  <c r="BJ115" i="32"/>
  <c r="BG115" i="32"/>
  <c r="BN115" i="32"/>
  <c r="BL115" i="32"/>
  <c r="BN115" i="31"/>
  <c r="BL115" i="31"/>
  <c r="BH116" i="31"/>
  <c r="BG116" i="31" s="1"/>
  <c r="BO115" i="31"/>
  <c r="BM115" i="31"/>
  <c r="BJ115" i="31"/>
  <c r="BA113" i="29"/>
  <c r="AY113" i="29"/>
  <c r="AU114" i="29"/>
  <c r="AT114" i="29" s="1"/>
  <c r="BB113" i="29"/>
  <c r="AZ113" i="29"/>
  <c r="AW113" i="29"/>
  <c r="BN116" i="33" l="1"/>
  <c r="BL116" i="33"/>
  <c r="BH117" i="33"/>
  <c r="BO116" i="33"/>
  <c r="BM116" i="33"/>
  <c r="BJ116" i="33"/>
  <c r="BG116" i="33"/>
  <c r="BN116" i="32"/>
  <c r="BL116" i="32"/>
  <c r="BH117" i="32"/>
  <c r="BO116" i="32"/>
  <c r="BM116" i="32"/>
  <c r="BJ116" i="32"/>
  <c r="BG116" i="32"/>
  <c r="BH117" i="31"/>
  <c r="BG117" i="31" s="1"/>
  <c r="BO116" i="31"/>
  <c r="BM116" i="31"/>
  <c r="BJ116" i="31"/>
  <c r="BN116" i="31"/>
  <c r="BL116" i="31"/>
  <c r="AU115" i="29"/>
  <c r="AT115" i="29" s="1"/>
  <c r="BB114" i="29"/>
  <c r="AZ114" i="29"/>
  <c r="AW114" i="29"/>
  <c r="BA114" i="29"/>
  <c r="AY114" i="29"/>
  <c r="BH118" i="33" l="1"/>
  <c r="BO117" i="33"/>
  <c r="BM117" i="33"/>
  <c r="BJ117" i="33"/>
  <c r="BG117" i="33"/>
  <c r="BN117" i="33"/>
  <c r="BL117" i="33"/>
  <c r="BH118" i="32"/>
  <c r="BO117" i="32"/>
  <c r="BM117" i="32"/>
  <c r="BJ117" i="32"/>
  <c r="BG117" i="32"/>
  <c r="BN117" i="32"/>
  <c r="BL117" i="32"/>
  <c r="BN117" i="31"/>
  <c r="BL117" i="31"/>
  <c r="BH118" i="31"/>
  <c r="BG118" i="31" s="1"/>
  <c r="BO117" i="31"/>
  <c r="BM117" i="31"/>
  <c r="BJ117" i="31"/>
  <c r="BA115" i="29"/>
  <c r="AY115" i="29"/>
  <c r="AU116" i="29"/>
  <c r="AT116" i="29" s="1"/>
  <c r="BB115" i="29"/>
  <c r="AZ115" i="29"/>
  <c r="AW115" i="29"/>
  <c r="BN118" i="33" l="1"/>
  <c r="BL118" i="33"/>
  <c r="BH119" i="33"/>
  <c r="BO118" i="33"/>
  <c r="BM118" i="33"/>
  <c r="BJ118" i="33"/>
  <c r="BG118" i="33"/>
  <c r="BN118" i="32"/>
  <c r="BL118" i="32"/>
  <c r="BH119" i="32"/>
  <c r="BO118" i="32"/>
  <c r="BM118" i="32"/>
  <c r="BJ118" i="32"/>
  <c r="BG118" i="32"/>
  <c r="BH119" i="31"/>
  <c r="BG119" i="31" s="1"/>
  <c r="BO118" i="31"/>
  <c r="BM118" i="31"/>
  <c r="BJ118" i="31"/>
  <c r="BN118" i="31"/>
  <c r="BL118" i="31"/>
  <c r="AU117" i="29"/>
  <c r="AT117" i="29" s="1"/>
  <c r="BB116" i="29"/>
  <c r="AZ116" i="29"/>
  <c r="AW116" i="29"/>
  <c r="BA116" i="29"/>
  <c r="AY116" i="29"/>
  <c r="BH120" i="33" l="1"/>
  <c r="BO119" i="33"/>
  <c r="BM119" i="33"/>
  <c r="BJ119" i="33"/>
  <c r="BG119" i="33"/>
  <c r="BN119" i="33"/>
  <c r="BL119" i="33"/>
  <c r="BH120" i="32"/>
  <c r="BO119" i="32"/>
  <c r="BM119" i="32"/>
  <c r="BJ119" i="32"/>
  <c r="BG119" i="32"/>
  <c r="BN119" i="32"/>
  <c r="BL119" i="32"/>
  <c r="BN119" i="31"/>
  <c r="BL119" i="31"/>
  <c r="BH120" i="31"/>
  <c r="BG120" i="31" s="1"/>
  <c r="BO119" i="31"/>
  <c r="BM119" i="31"/>
  <c r="BJ119" i="31"/>
  <c r="BA117" i="29"/>
  <c r="AY117" i="29"/>
  <c r="AU118" i="29"/>
  <c r="AT118" i="29" s="1"/>
  <c r="BB117" i="29"/>
  <c r="AZ117" i="29"/>
  <c r="AW117" i="29"/>
  <c r="BN120" i="33" l="1"/>
  <c r="BL120" i="33"/>
  <c r="BH121" i="33"/>
  <c r="BO120" i="33"/>
  <c r="BM120" i="33"/>
  <c r="BJ120" i="33"/>
  <c r="BG120" i="33"/>
  <c r="BN120" i="32"/>
  <c r="BL120" i="32"/>
  <c r="BH121" i="32"/>
  <c r="BO120" i="32"/>
  <c r="BM120" i="32"/>
  <c r="BJ120" i="32"/>
  <c r="BG120" i="32"/>
  <c r="BH121" i="31"/>
  <c r="BG121" i="31" s="1"/>
  <c r="BO120" i="31"/>
  <c r="BM120" i="31"/>
  <c r="BJ120" i="31"/>
  <c r="BN120" i="31"/>
  <c r="BL120" i="31"/>
  <c r="AU119" i="29"/>
  <c r="AT119" i="29" s="1"/>
  <c r="BB118" i="29"/>
  <c r="AZ118" i="29"/>
  <c r="AW118" i="29"/>
  <c r="BA118" i="29"/>
  <c r="AY118" i="29"/>
  <c r="BH122" i="33" l="1"/>
  <c r="BO121" i="33"/>
  <c r="BN121" i="33"/>
  <c r="BM121" i="33"/>
  <c r="BJ121" i="33"/>
  <c r="BG121" i="33"/>
  <c r="BL121" i="33"/>
  <c r="BH122" i="32"/>
  <c r="BO121" i="32"/>
  <c r="BM121" i="32"/>
  <c r="BJ121" i="32"/>
  <c r="BG121" i="32"/>
  <c r="BN121" i="32"/>
  <c r="BL121" i="32"/>
  <c r="BN121" i="31"/>
  <c r="BL121" i="31"/>
  <c r="BH122" i="31"/>
  <c r="BG122" i="31" s="1"/>
  <c r="BO121" i="31"/>
  <c r="BM121" i="31"/>
  <c r="BJ121" i="31"/>
  <c r="BA119" i="29"/>
  <c r="AY119" i="29"/>
  <c r="AU120" i="29"/>
  <c r="AT120" i="29" s="1"/>
  <c r="BB119" i="29"/>
  <c r="AZ119" i="29"/>
  <c r="AW119" i="29"/>
  <c r="BN122" i="33" l="1"/>
  <c r="BL122" i="33"/>
  <c r="BH123" i="33"/>
  <c r="BO122" i="33"/>
  <c r="BM122" i="33"/>
  <c r="BJ122" i="33"/>
  <c r="BG122" i="33"/>
  <c r="BN122" i="32"/>
  <c r="BL122" i="32"/>
  <c r="BH123" i="32"/>
  <c r="BO122" i="32"/>
  <c r="BM122" i="32"/>
  <c r="BJ122" i="32"/>
  <c r="BG122" i="32"/>
  <c r="BH123" i="31"/>
  <c r="BG123" i="31" s="1"/>
  <c r="BO122" i="31"/>
  <c r="BM122" i="31"/>
  <c r="BJ122" i="31"/>
  <c r="BN122" i="31"/>
  <c r="BL122" i="31"/>
  <c r="AU121" i="29"/>
  <c r="AT121" i="29" s="1"/>
  <c r="BB120" i="29"/>
  <c r="AZ120" i="29"/>
  <c r="AW120" i="29"/>
  <c r="BA120" i="29"/>
  <c r="AY120" i="29"/>
  <c r="BH124" i="33" l="1"/>
  <c r="BO123" i="33"/>
  <c r="BM123" i="33"/>
  <c r="BJ123" i="33"/>
  <c r="BG123" i="33"/>
  <c r="BN123" i="33"/>
  <c r="BL123" i="33"/>
  <c r="BH124" i="32"/>
  <c r="BO123" i="32"/>
  <c r="BM123" i="32"/>
  <c r="BJ123" i="32"/>
  <c r="BG123" i="32"/>
  <c r="BN123" i="32"/>
  <c r="BL123" i="32"/>
  <c r="BN123" i="31"/>
  <c r="BL123" i="31"/>
  <c r="BH124" i="31"/>
  <c r="BG124" i="31" s="1"/>
  <c r="BO123" i="31"/>
  <c r="BM123" i="31"/>
  <c r="BJ123" i="31"/>
  <c r="BA121" i="29"/>
  <c r="AY121" i="29"/>
  <c r="AU122" i="29"/>
  <c r="AT122" i="29" s="1"/>
  <c r="BB121" i="29"/>
  <c r="AZ121" i="29"/>
  <c r="AW121" i="29"/>
  <c r="BN124" i="33" l="1"/>
  <c r="BL124" i="33"/>
  <c r="BH125" i="33"/>
  <c r="BO124" i="33"/>
  <c r="BM124" i="33"/>
  <c r="BJ124" i="33"/>
  <c r="BG124" i="33"/>
  <c r="BN124" i="32"/>
  <c r="BL124" i="32"/>
  <c r="BH125" i="32"/>
  <c r="BO124" i="32"/>
  <c r="BM124" i="32"/>
  <c r="BJ124" i="32"/>
  <c r="BG124" i="32"/>
  <c r="BH125" i="31"/>
  <c r="BG125" i="31" s="1"/>
  <c r="BO124" i="31"/>
  <c r="BM124" i="31"/>
  <c r="BJ124" i="31"/>
  <c r="BN124" i="31"/>
  <c r="BL124" i="31"/>
  <c r="AU123" i="29"/>
  <c r="AT123" i="29" s="1"/>
  <c r="BB122" i="29"/>
  <c r="AZ122" i="29"/>
  <c r="AW122" i="29"/>
  <c r="BA122" i="29"/>
  <c r="AY122" i="29"/>
  <c r="BH126" i="33" l="1"/>
  <c r="BO125" i="33"/>
  <c r="BM125" i="33"/>
  <c r="BJ125" i="33"/>
  <c r="BG125" i="33"/>
  <c r="BN125" i="33"/>
  <c r="BL125" i="33"/>
  <c r="BH126" i="32"/>
  <c r="BO125" i="32"/>
  <c r="BM125" i="32"/>
  <c r="BJ125" i="32"/>
  <c r="BG125" i="32"/>
  <c r="BN125" i="32"/>
  <c r="BL125" i="32"/>
  <c r="BN125" i="31"/>
  <c r="BL125" i="31"/>
  <c r="BH126" i="31"/>
  <c r="BG126" i="31" s="1"/>
  <c r="BO125" i="31"/>
  <c r="BM125" i="31"/>
  <c r="BJ125" i="31"/>
  <c r="BA123" i="29"/>
  <c r="AY123" i="29"/>
  <c r="AU124" i="29"/>
  <c r="AT124" i="29" s="1"/>
  <c r="BB123" i="29"/>
  <c r="AZ123" i="29"/>
  <c r="AW123" i="29"/>
  <c r="BN126" i="33" l="1"/>
  <c r="BL126" i="33"/>
  <c r="BH127" i="33"/>
  <c r="BO126" i="33"/>
  <c r="BM126" i="33"/>
  <c r="BJ126" i="33"/>
  <c r="BG126" i="33"/>
  <c r="BN126" i="32"/>
  <c r="BL126" i="32"/>
  <c r="BH127" i="32"/>
  <c r="BO126" i="32"/>
  <c r="BM126" i="32"/>
  <c r="BJ126" i="32"/>
  <c r="BG126" i="32"/>
  <c r="BH127" i="31"/>
  <c r="BG127" i="31" s="1"/>
  <c r="BO126" i="31"/>
  <c r="BM126" i="31"/>
  <c r="BJ126" i="31"/>
  <c r="BN126" i="31"/>
  <c r="BL126" i="31"/>
  <c r="AU125" i="29"/>
  <c r="AT125" i="29" s="1"/>
  <c r="BB124" i="29"/>
  <c r="AZ124" i="29"/>
  <c r="AW124" i="29"/>
  <c r="BA124" i="29"/>
  <c r="AY124" i="29"/>
  <c r="BH128" i="33" l="1"/>
  <c r="BO127" i="33"/>
  <c r="BM127" i="33"/>
  <c r="BJ127" i="33"/>
  <c r="BG127" i="33"/>
  <c r="BN127" i="33"/>
  <c r="BL127" i="33"/>
  <c r="BH128" i="32"/>
  <c r="BO127" i="32"/>
  <c r="BM127" i="32"/>
  <c r="BJ127" i="32"/>
  <c r="BG127" i="32"/>
  <c r="BN127" i="32"/>
  <c r="BL127" i="32"/>
  <c r="BN127" i="31"/>
  <c r="BL127" i="31"/>
  <c r="BH128" i="31"/>
  <c r="BG128" i="31" s="1"/>
  <c r="BO127" i="31"/>
  <c r="BM127" i="31"/>
  <c r="BJ127" i="31"/>
  <c r="BA125" i="29"/>
  <c r="AY125" i="29"/>
  <c r="AU126" i="29"/>
  <c r="AT126" i="29" s="1"/>
  <c r="BB125" i="29"/>
  <c r="AZ125" i="29"/>
  <c r="AW125" i="29"/>
  <c r="BN128" i="33" l="1"/>
  <c r="BL128" i="33"/>
  <c r="BH129" i="33"/>
  <c r="BO128" i="33"/>
  <c r="BM128" i="33"/>
  <c r="BJ128" i="33"/>
  <c r="BG128" i="33"/>
  <c r="BN128" i="32"/>
  <c r="BL128" i="32"/>
  <c r="BH129" i="32"/>
  <c r="BO128" i="32"/>
  <c r="BM128" i="32"/>
  <c r="BJ128" i="32"/>
  <c r="BG128" i="32"/>
  <c r="BH129" i="31"/>
  <c r="BG129" i="31" s="1"/>
  <c r="BO128" i="31"/>
  <c r="BM128" i="31"/>
  <c r="BJ128" i="31"/>
  <c r="BN128" i="31"/>
  <c r="BL128" i="31"/>
  <c r="AU127" i="29"/>
  <c r="AT127" i="29" s="1"/>
  <c r="BB126" i="29"/>
  <c r="AZ126" i="29"/>
  <c r="AW126" i="29"/>
  <c r="BA126" i="29"/>
  <c r="AY126" i="29"/>
  <c r="BH130" i="33" l="1"/>
  <c r="BO129" i="33"/>
  <c r="BM129" i="33"/>
  <c r="BJ129" i="33"/>
  <c r="BG129" i="33"/>
  <c r="BN129" i="33"/>
  <c r="BL129" i="33"/>
  <c r="BH130" i="32"/>
  <c r="BO129" i="32"/>
  <c r="BM129" i="32"/>
  <c r="BJ129" i="32"/>
  <c r="BG129" i="32"/>
  <c r="BN129" i="32"/>
  <c r="BL129" i="32"/>
  <c r="BN129" i="31"/>
  <c r="BL129" i="31"/>
  <c r="BH130" i="31"/>
  <c r="BG130" i="31" s="1"/>
  <c r="BO129" i="31"/>
  <c r="BM129" i="31"/>
  <c r="BJ129" i="31"/>
  <c r="BA127" i="29"/>
  <c r="AY127" i="29"/>
  <c r="AU128" i="29"/>
  <c r="AT128" i="29" s="1"/>
  <c r="BB127" i="29"/>
  <c r="AZ127" i="29"/>
  <c r="AW127" i="29"/>
  <c r="BN130" i="33" l="1"/>
  <c r="BL130" i="33"/>
  <c r="BH131" i="33"/>
  <c r="BO130" i="33"/>
  <c r="BM130" i="33"/>
  <c r="BJ130" i="33"/>
  <c r="BG130" i="33"/>
  <c r="BN130" i="32"/>
  <c r="BL130" i="32"/>
  <c r="BH131" i="32"/>
  <c r="BO130" i="32"/>
  <c r="BM130" i="32"/>
  <c r="BJ130" i="32"/>
  <c r="BG130" i="32"/>
  <c r="BH131" i="31"/>
  <c r="BO130" i="31"/>
  <c r="BM130" i="31"/>
  <c r="BJ130" i="31"/>
  <c r="BN130" i="31"/>
  <c r="BL130" i="31"/>
  <c r="AU129" i="29"/>
  <c r="AT129" i="29" s="1"/>
  <c r="BB128" i="29"/>
  <c r="AZ128" i="29"/>
  <c r="AW128" i="29"/>
  <c r="BA128" i="29"/>
  <c r="AY128" i="29"/>
  <c r="BH132" i="33" l="1"/>
  <c r="BO131" i="33"/>
  <c r="BM131" i="33"/>
  <c r="BJ131" i="33"/>
  <c r="BG131" i="33"/>
  <c r="BN131" i="33"/>
  <c r="BL131" i="33"/>
  <c r="BH132" i="32"/>
  <c r="BO131" i="32"/>
  <c r="BM131" i="32"/>
  <c r="BJ131" i="32"/>
  <c r="BG131" i="32"/>
  <c r="BN131" i="32"/>
  <c r="BL131" i="32"/>
  <c r="BN131" i="31"/>
  <c r="BL131" i="31"/>
  <c r="BH132" i="31"/>
  <c r="BO131" i="31"/>
  <c r="BM131" i="31"/>
  <c r="BJ131" i="31"/>
  <c r="BG131" i="31"/>
  <c r="BA129" i="29"/>
  <c r="AY129" i="29"/>
  <c r="AU130" i="29"/>
  <c r="AT130" i="29" s="1"/>
  <c r="BB129" i="29"/>
  <c r="AZ129" i="29"/>
  <c r="AW129" i="29"/>
  <c r="BN132" i="33" l="1"/>
  <c r="BL132" i="33"/>
  <c r="BH133" i="33"/>
  <c r="BO132" i="33"/>
  <c r="BM132" i="33"/>
  <c r="BJ132" i="33"/>
  <c r="BG132" i="33"/>
  <c r="BN132" i="32"/>
  <c r="BL132" i="32"/>
  <c r="BH133" i="32"/>
  <c r="BO132" i="32"/>
  <c r="BM132" i="32"/>
  <c r="BJ132" i="32"/>
  <c r="BG132" i="32"/>
  <c r="BH133" i="31"/>
  <c r="BO132" i="31"/>
  <c r="BM132" i="31"/>
  <c r="BJ132" i="31"/>
  <c r="BG132" i="31"/>
  <c r="BN132" i="31"/>
  <c r="BL132" i="31"/>
  <c r="AU131" i="29"/>
  <c r="AT131" i="29" s="1"/>
  <c r="BB130" i="29"/>
  <c r="AZ130" i="29"/>
  <c r="AW130" i="29"/>
  <c r="BA130" i="29"/>
  <c r="AY130" i="29"/>
  <c r="BH134" i="33" l="1"/>
  <c r="BO133" i="33"/>
  <c r="BM133" i="33"/>
  <c r="BJ133" i="33"/>
  <c r="BG133" i="33"/>
  <c r="BN133" i="33"/>
  <c r="BL133" i="33"/>
  <c r="BH134" i="32"/>
  <c r="BO133" i="32"/>
  <c r="BM133" i="32"/>
  <c r="BJ133" i="32"/>
  <c r="BG133" i="32"/>
  <c r="BN133" i="32"/>
  <c r="BL133" i="32"/>
  <c r="BN133" i="31"/>
  <c r="BL133" i="31"/>
  <c r="BH134" i="31"/>
  <c r="BO133" i="31"/>
  <c r="BM133" i="31"/>
  <c r="BJ133" i="31"/>
  <c r="BG133" i="31"/>
  <c r="BA131" i="29"/>
  <c r="AY131" i="29"/>
  <c r="AU132" i="29"/>
  <c r="AT132" i="29" s="1"/>
  <c r="BB131" i="29"/>
  <c r="AZ131" i="29"/>
  <c r="AW131" i="29"/>
  <c r="BN134" i="33" l="1"/>
  <c r="BL134" i="33"/>
  <c r="BH135" i="33"/>
  <c r="BO134" i="33"/>
  <c r="BM134" i="33"/>
  <c r="BJ134" i="33"/>
  <c r="BG134" i="33"/>
  <c r="BN134" i="32"/>
  <c r="BL134" i="32"/>
  <c r="BH135" i="32"/>
  <c r="BO134" i="32"/>
  <c r="BM134" i="32"/>
  <c r="BJ134" i="32"/>
  <c r="BG134" i="32"/>
  <c r="BH135" i="31"/>
  <c r="BO134" i="31"/>
  <c r="BM134" i="31"/>
  <c r="BJ134" i="31"/>
  <c r="BG134" i="31"/>
  <c r="BN134" i="31"/>
  <c r="BL134" i="31"/>
  <c r="AU133" i="29"/>
  <c r="AT133" i="29" s="1"/>
  <c r="BB132" i="29"/>
  <c r="AZ132" i="29"/>
  <c r="AW132" i="29"/>
  <c r="BA132" i="29"/>
  <c r="AY132" i="29"/>
  <c r="BH136" i="33" l="1"/>
  <c r="BO135" i="33"/>
  <c r="BM135" i="33"/>
  <c r="BJ135" i="33"/>
  <c r="BG135" i="33"/>
  <c r="BN135" i="33"/>
  <c r="BL135" i="33"/>
  <c r="BH136" i="32"/>
  <c r="BO135" i="32"/>
  <c r="BM135" i="32"/>
  <c r="BJ135" i="32"/>
  <c r="BG135" i="32"/>
  <c r="BN135" i="32"/>
  <c r="BL135" i="32"/>
  <c r="BN135" i="31"/>
  <c r="BL135" i="31"/>
  <c r="BH136" i="31"/>
  <c r="BO135" i="31"/>
  <c r="BM135" i="31"/>
  <c r="BJ135" i="31"/>
  <c r="BG135" i="31"/>
  <c r="BA133" i="29"/>
  <c r="AY133" i="29"/>
  <c r="AU134" i="29"/>
  <c r="AT134" i="29" s="1"/>
  <c r="BB133" i="29"/>
  <c r="AZ133" i="29"/>
  <c r="AW133" i="29"/>
  <c r="BN136" i="33" l="1"/>
  <c r="BL136" i="33"/>
  <c r="BH137" i="33"/>
  <c r="BO136" i="33"/>
  <c r="BM136" i="33"/>
  <c r="BJ136" i="33"/>
  <c r="BG136" i="33"/>
  <c r="BN136" i="32"/>
  <c r="BL136" i="32"/>
  <c r="BH137" i="32"/>
  <c r="BO136" i="32"/>
  <c r="BM136" i="32"/>
  <c r="BJ136" i="32"/>
  <c r="BG136" i="32"/>
  <c r="BH137" i="31"/>
  <c r="BO136" i="31"/>
  <c r="BM136" i="31"/>
  <c r="BJ136" i="31"/>
  <c r="BG136" i="31"/>
  <c r="BN136" i="31"/>
  <c r="BL136" i="31"/>
  <c r="AU135" i="29"/>
  <c r="AT135" i="29" s="1"/>
  <c r="BB134" i="29"/>
  <c r="AZ134" i="29"/>
  <c r="AW134" i="29"/>
  <c r="BA134" i="29"/>
  <c r="AY134" i="29"/>
  <c r="BH138" i="33" l="1"/>
  <c r="BO137" i="33"/>
  <c r="BM137" i="33"/>
  <c r="BJ137" i="33"/>
  <c r="BG137" i="33"/>
  <c r="BN137" i="33"/>
  <c r="BL137" i="33"/>
  <c r="BH138" i="32"/>
  <c r="BO137" i="32"/>
  <c r="BM137" i="32"/>
  <c r="BJ137" i="32"/>
  <c r="BG137" i="32"/>
  <c r="BN137" i="32"/>
  <c r="BL137" i="32"/>
  <c r="BN137" i="31"/>
  <c r="BL137" i="31"/>
  <c r="BH138" i="31"/>
  <c r="BO137" i="31"/>
  <c r="BM137" i="31"/>
  <c r="BJ137" i="31"/>
  <c r="BG137" i="31"/>
  <c r="BA135" i="29"/>
  <c r="AY135" i="29"/>
  <c r="AU136" i="29"/>
  <c r="AT136" i="29" s="1"/>
  <c r="BB135" i="29"/>
  <c r="AZ135" i="29"/>
  <c r="AW135" i="29"/>
  <c r="BN138" i="33" l="1"/>
  <c r="BL138" i="33"/>
  <c r="BH139" i="33"/>
  <c r="BO138" i="33"/>
  <c r="BM138" i="33"/>
  <c r="BJ138" i="33"/>
  <c r="BG138" i="33"/>
  <c r="BN138" i="32"/>
  <c r="BL138" i="32"/>
  <c r="BH139" i="32"/>
  <c r="BO138" i="32"/>
  <c r="BM138" i="32"/>
  <c r="BJ138" i="32"/>
  <c r="BG138" i="32"/>
  <c r="BH139" i="31"/>
  <c r="BO138" i="31"/>
  <c r="BM138" i="31"/>
  <c r="BJ138" i="31"/>
  <c r="BG138" i="31"/>
  <c r="BN138" i="31"/>
  <c r="BL138" i="31"/>
  <c r="AU137" i="29"/>
  <c r="AT137" i="29" s="1"/>
  <c r="BB136" i="29"/>
  <c r="AZ136" i="29"/>
  <c r="AW136" i="29"/>
  <c r="BA136" i="29"/>
  <c r="AY136" i="29"/>
  <c r="BH140" i="33" l="1"/>
  <c r="BO139" i="33"/>
  <c r="BM139" i="33"/>
  <c r="BJ139" i="33"/>
  <c r="BG139" i="33"/>
  <c r="BN139" i="33"/>
  <c r="BL139" i="33"/>
  <c r="BH140" i="32"/>
  <c r="BO139" i="32"/>
  <c r="BM139" i="32"/>
  <c r="BJ139" i="32"/>
  <c r="BG139" i="32"/>
  <c r="BN139" i="32"/>
  <c r="BL139" i="32"/>
  <c r="BN139" i="31"/>
  <c r="BL139" i="31"/>
  <c r="BH140" i="31"/>
  <c r="BO139" i="31"/>
  <c r="BM139" i="31"/>
  <c r="BJ139" i="31"/>
  <c r="BG139" i="31"/>
  <c r="BA137" i="29"/>
  <c r="AY137" i="29"/>
  <c r="AU138" i="29"/>
  <c r="AT138" i="29" s="1"/>
  <c r="BB137" i="29"/>
  <c r="AZ137" i="29"/>
  <c r="AW137" i="29"/>
  <c r="BN140" i="33" l="1"/>
  <c r="BL140" i="33"/>
  <c r="BH141" i="33"/>
  <c r="BO140" i="33"/>
  <c r="BM140" i="33"/>
  <c r="BJ140" i="33"/>
  <c r="BG140" i="33"/>
  <c r="BN140" i="32"/>
  <c r="BL140" i="32"/>
  <c r="BH141" i="32"/>
  <c r="BO140" i="32"/>
  <c r="BM140" i="32"/>
  <c r="BJ140" i="32"/>
  <c r="BG140" i="32"/>
  <c r="BH141" i="31"/>
  <c r="BO140" i="31"/>
  <c r="BM140" i="31"/>
  <c r="BJ140" i="31"/>
  <c r="BG140" i="31"/>
  <c r="BN140" i="31"/>
  <c r="BL140" i="31"/>
  <c r="AU139" i="29"/>
  <c r="AT139" i="29" s="1"/>
  <c r="BB138" i="29"/>
  <c r="AZ138" i="29"/>
  <c r="AW138" i="29"/>
  <c r="BA138" i="29"/>
  <c r="AY138" i="29"/>
  <c r="BH142" i="33" l="1"/>
  <c r="BO141" i="33"/>
  <c r="BM141" i="33"/>
  <c r="BJ141" i="33"/>
  <c r="BG141" i="33"/>
  <c r="BN141" i="33"/>
  <c r="BL141" i="33"/>
  <c r="BH142" i="32"/>
  <c r="BO141" i="32"/>
  <c r="BM141" i="32"/>
  <c r="BJ141" i="32"/>
  <c r="BG141" i="32"/>
  <c r="BN141" i="32"/>
  <c r="BL141" i="32"/>
  <c r="BN141" i="31"/>
  <c r="BL141" i="31"/>
  <c r="BH142" i="31"/>
  <c r="BO141" i="31"/>
  <c r="BM141" i="31"/>
  <c r="BJ141" i="31"/>
  <c r="BG141" i="31"/>
  <c r="BA139" i="29"/>
  <c r="AY139" i="29"/>
  <c r="AU140" i="29"/>
  <c r="AT140" i="29" s="1"/>
  <c r="BB139" i="29"/>
  <c r="AZ139" i="29"/>
  <c r="AW139" i="29"/>
  <c r="BN142" i="33" l="1"/>
  <c r="BL142" i="33"/>
  <c r="BH143" i="33"/>
  <c r="BO142" i="33"/>
  <c r="BM142" i="33"/>
  <c r="BJ142" i="33"/>
  <c r="BG142" i="33"/>
  <c r="BN142" i="32"/>
  <c r="BL142" i="32"/>
  <c r="BH143" i="32"/>
  <c r="BO142" i="32"/>
  <c r="BM142" i="32"/>
  <c r="BJ142" i="32"/>
  <c r="BG142" i="32"/>
  <c r="BH143" i="31"/>
  <c r="BO142" i="31"/>
  <c r="BM142" i="31"/>
  <c r="BJ142" i="31"/>
  <c r="BG142" i="31"/>
  <c r="BN142" i="31"/>
  <c r="BL142" i="31"/>
  <c r="AU141" i="29"/>
  <c r="AT141" i="29" s="1"/>
  <c r="BB140" i="29"/>
  <c r="AZ140" i="29"/>
  <c r="AW140" i="29"/>
  <c r="BA140" i="29"/>
  <c r="AY140" i="29"/>
  <c r="BH144" i="33" l="1"/>
  <c r="BO143" i="33"/>
  <c r="BM143" i="33"/>
  <c r="BJ143" i="33"/>
  <c r="BG143" i="33"/>
  <c r="BN143" i="33"/>
  <c r="BL143" i="33"/>
  <c r="BH144" i="32"/>
  <c r="BO143" i="32"/>
  <c r="BM143" i="32"/>
  <c r="BJ143" i="32"/>
  <c r="BG143" i="32"/>
  <c r="BN143" i="32"/>
  <c r="BL143" i="32"/>
  <c r="BN143" i="31"/>
  <c r="BL143" i="31"/>
  <c r="BH144" i="31"/>
  <c r="BO143" i="31"/>
  <c r="BM143" i="31"/>
  <c r="BJ143" i="31"/>
  <c r="BG143" i="31"/>
  <c r="BA141" i="29"/>
  <c r="AY141" i="29"/>
  <c r="AU142" i="29"/>
  <c r="AT142" i="29" s="1"/>
  <c r="BB141" i="29"/>
  <c r="AZ141" i="29"/>
  <c r="AW141" i="29"/>
  <c r="BN144" i="33" l="1"/>
  <c r="BL144" i="33"/>
  <c r="BH145" i="33"/>
  <c r="BO144" i="33"/>
  <c r="BM144" i="33"/>
  <c r="BJ144" i="33"/>
  <c r="BG144" i="33"/>
  <c r="BN144" i="32"/>
  <c r="BL144" i="32"/>
  <c r="BH145" i="32"/>
  <c r="BO144" i="32"/>
  <c r="BM144" i="32"/>
  <c r="BJ144" i="32"/>
  <c r="BG144" i="32"/>
  <c r="BH145" i="31"/>
  <c r="BO144" i="31"/>
  <c r="BM144" i="31"/>
  <c r="BJ144" i="31"/>
  <c r="BG144" i="31"/>
  <c r="BN144" i="31"/>
  <c r="BL144" i="31"/>
  <c r="AU143" i="29"/>
  <c r="AT143" i="29" s="1"/>
  <c r="BB142" i="29"/>
  <c r="AZ142" i="29"/>
  <c r="AW142" i="29"/>
  <c r="BA142" i="29"/>
  <c r="AY142" i="29"/>
  <c r="BH146" i="33" l="1"/>
  <c r="BO145" i="33"/>
  <c r="BM145" i="33"/>
  <c r="BJ145" i="33"/>
  <c r="BG145" i="33"/>
  <c r="BN145" i="33"/>
  <c r="BL145" i="33"/>
  <c r="BH146" i="32"/>
  <c r="BO145" i="32"/>
  <c r="BM145" i="32"/>
  <c r="BJ145" i="32"/>
  <c r="BG145" i="32"/>
  <c r="BN145" i="32"/>
  <c r="BL145" i="32"/>
  <c r="BN145" i="31"/>
  <c r="BL145" i="31"/>
  <c r="BH146" i="31"/>
  <c r="BO145" i="31"/>
  <c r="BM145" i="31"/>
  <c r="BJ145" i="31"/>
  <c r="BG145" i="31"/>
  <c r="BA143" i="29"/>
  <c r="AY143" i="29"/>
  <c r="AU144" i="29"/>
  <c r="AT144" i="29" s="1"/>
  <c r="BB143" i="29"/>
  <c r="AZ143" i="29"/>
  <c r="AW143" i="29"/>
  <c r="BN146" i="33" l="1"/>
  <c r="BL146" i="33"/>
  <c r="BH147" i="33"/>
  <c r="BO146" i="33"/>
  <c r="BM146" i="33"/>
  <c r="BJ146" i="33"/>
  <c r="BG146" i="33"/>
  <c r="BN146" i="32"/>
  <c r="BL146" i="32"/>
  <c r="BH147" i="32"/>
  <c r="BO146" i="32"/>
  <c r="BM146" i="32"/>
  <c r="BJ146" i="32"/>
  <c r="BG146" i="32"/>
  <c r="BH147" i="31"/>
  <c r="BO146" i="31"/>
  <c r="BM146" i="31"/>
  <c r="BJ146" i="31"/>
  <c r="BG146" i="31"/>
  <c r="BN146" i="31"/>
  <c r="BL146" i="31"/>
  <c r="AU145" i="29"/>
  <c r="AT145" i="29" s="1"/>
  <c r="BB144" i="29"/>
  <c r="AZ144" i="29"/>
  <c r="AW144" i="29"/>
  <c r="BA144" i="29"/>
  <c r="AY144" i="29"/>
  <c r="BH148" i="33" l="1"/>
  <c r="BO147" i="33"/>
  <c r="BM147" i="33"/>
  <c r="BJ147" i="33"/>
  <c r="BG147" i="33"/>
  <c r="BN147" i="33"/>
  <c r="BL147" i="33"/>
  <c r="BH148" i="32"/>
  <c r="BO147" i="32"/>
  <c r="BM147" i="32"/>
  <c r="BJ147" i="32"/>
  <c r="BG147" i="32"/>
  <c r="BN147" i="32"/>
  <c r="BL147" i="32"/>
  <c r="BN147" i="31"/>
  <c r="BL147" i="31"/>
  <c r="BH148" i="31"/>
  <c r="BO147" i="31"/>
  <c r="BM147" i="31"/>
  <c r="BJ147" i="31"/>
  <c r="BG147" i="31"/>
  <c r="BA145" i="29"/>
  <c r="AY145" i="29"/>
  <c r="AU146" i="29"/>
  <c r="AT146" i="29" s="1"/>
  <c r="BB145" i="29"/>
  <c r="AZ145" i="29"/>
  <c r="AW145" i="29"/>
  <c r="BN148" i="33" l="1"/>
  <c r="BL148" i="33"/>
  <c r="BH149" i="33"/>
  <c r="BO148" i="33"/>
  <c r="BM148" i="33"/>
  <c r="BJ148" i="33"/>
  <c r="BG148" i="33"/>
  <c r="BN148" i="32"/>
  <c r="BL148" i="32"/>
  <c r="BH149" i="32"/>
  <c r="BO148" i="32"/>
  <c r="BM148" i="32"/>
  <c r="BJ148" i="32"/>
  <c r="BG148" i="32"/>
  <c r="BH149" i="31"/>
  <c r="BO148" i="31"/>
  <c r="BM148" i="31"/>
  <c r="BJ148" i="31"/>
  <c r="BG148" i="31"/>
  <c r="BN148" i="31"/>
  <c r="BL148" i="31"/>
  <c r="AU147" i="29"/>
  <c r="AT147" i="29" s="1"/>
  <c r="BB146" i="29"/>
  <c r="AZ146" i="29"/>
  <c r="AW146" i="29"/>
  <c r="BA146" i="29"/>
  <c r="AY146" i="29"/>
  <c r="BH150" i="33" l="1"/>
  <c r="BO149" i="33"/>
  <c r="BM149" i="33"/>
  <c r="BJ149" i="33"/>
  <c r="BG149" i="33"/>
  <c r="BN149" i="33"/>
  <c r="BL149" i="33"/>
  <c r="BH150" i="32"/>
  <c r="BO149" i="32"/>
  <c r="BM149" i="32"/>
  <c r="BJ149" i="32"/>
  <c r="BG149" i="32"/>
  <c r="BN149" i="32"/>
  <c r="BL149" i="32"/>
  <c r="BN149" i="31"/>
  <c r="BL149" i="31"/>
  <c r="BH150" i="31"/>
  <c r="BO149" i="31"/>
  <c r="BM149" i="31"/>
  <c r="BJ149" i="31"/>
  <c r="BG149" i="31"/>
  <c r="BA147" i="29"/>
  <c r="AY147" i="29"/>
  <c r="AU148" i="29"/>
  <c r="AT148" i="29" s="1"/>
  <c r="BB147" i="29"/>
  <c r="AZ147" i="29"/>
  <c r="AW147" i="29"/>
  <c r="BN150" i="33" l="1"/>
  <c r="BL150" i="33"/>
  <c r="BH151" i="33"/>
  <c r="BO150" i="33"/>
  <c r="BM150" i="33"/>
  <c r="BJ150" i="33"/>
  <c r="BG150" i="33"/>
  <c r="BN150" i="32"/>
  <c r="BL150" i="32"/>
  <c r="BH151" i="32"/>
  <c r="BO150" i="32"/>
  <c r="BM150" i="32"/>
  <c r="BJ150" i="32"/>
  <c r="BG150" i="32"/>
  <c r="BH151" i="31"/>
  <c r="BO150" i="31"/>
  <c r="BM150" i="31"/>
  <c r="BJ150" i="31"/>
  <c r="BG150" i="31"/>
  <c r="BN150" i="31"/>
  <c r="BL150" i="31"/>
  <c r="AU149" i="29"/>
  <c r="AT149" i="29" s="1"/>
  <c r="BB148" i="29"/>
  <c r="AZ148" i="29"/>
  <c r="AW148" i="29"/>
  <c r="BA148" i="29"/>
  <c r="AY148" i="29"/>
  <c r="BH152" i="33" l="1"/>
  <c r="BO151" i="33"/>
  <c r="BM151" i="33"/>
  <c r="BJ151" i="33"/>
  <c r="BG151" i="33"/>
  <c r="BN151" i="33"/>
  <c r="BL151" i="33"/>
  <c r="BH152" i="32"/>
  <c r="BO151" i="32"/>
  <c r="BM151" i="32"/>
  <c r="BJ151" i="32"/>
  <c r="BG151" i="32"/>
  <c r="BN151" i="32"/>
  <c r="BL151" i="32"/>
  <c r="BN151" i="31"/>
  <c r="BL151" i="31"/>
  <c r="BH152" i="31"/>
  <c r="BO151" i="31"/>
  <c r="BM151" i="31"/>
  <c r="BJ151" i="31"/>
  <c r="BG151" i="31"/>
  <c r="BA149" i="29"/>
  <c r="AY149" i="29"/>
  <c r="AU150" i="29"/>
  <c r="AT150" i="29" s="1"/>
  <c r="BB149" i="29"/>
  <c r="AZ149" i="29"/>
  <c r="AW149" i="29"/>
  <c r="BN152" i="33" l="1"/>
  <c r="BL152" i="33"/>
  <c r="BH153" i="33"/>
  <c r="BO152" i="33"/>
  <c r="BM152" i="33"/>
  <c r="BJ152" i="33"/>
  <c r="BG152" i="33"/>
  <c r="BN152" i="32"/>
  <c r="BL152" i="32"/>
  <c r="BH153" i="32"/>
  <c r="BO152" i="32"/>
  <c r="BM152" i="32"/>
  <c r="BJ152" i="32"/>
  <c r="BG152" i="32"/>
  <c r="BH153" i="31"/>
  <c r="BO152" i="31"/>
  <c r="BM152" i="31"/>
  <c r="BJ152" i="31"/>
  <c r="BG152" i="31"/>
  <c r="BN152" i="31"/>
  <c r="BL152" i="31"/>
  <c r="AU151" i="29"/>
  <c r="AT151" i="29" s="1"/>
  <c r="BB150" i="29"/>
  <c r="AZ150" i="29"/>
  <c r="AW150" i="29"/>
  <c r="BA150" i="29"/>
  <c r="AY150" i="29"/>
  <c r="BH154" i="33" l="1"/>
  <c r="BO153" i="33"/>
  <c r="BM153" i="33"/>
  <c r="BJ153" i="33"/>
  <c r="BG153" i="33"/>
  <c r="BN153" i="33"/>
  <c r="BL153" i="33"/>
  <c r="BH154" i="32"/>
  <c r="BO153" i="32"/>
  <c r="BM153" i="32"/>
  <c r="BJ153" i="32"/>
  <c r="BG153" i="32"/>
  <c r="BN153" i="32"/>
  <c r="BL153" i="32"/>
  <c r="BN153" i="31"/>
  <c r="BL153" i="31"/>
  <c r="BH154" i="31"/>
  <c r="BO153" i="31"/>
  <c r="BM153" i="31"/>
  <c r="BJ153" i="31"/>
  <c r="BG153" i="31"/>
  <c r="BA151" i="29"/>
  <c r="AY151" i="29"/>
  <c r="AU152" i="29"/>
  <c r="AT152" i="29" s="1"/>
  <c r="BB151" i="29"/>
  <c r="AZ151" i="29"/>
  <c r="AW151" i="29"/>
  <c r="BN154" i="33" l="1"/>
  <c r="BL154" i="33"/>
  <c r="BH155" i="33"/>
  <c r="BO154" i="33"/>
  <c r="BM154" i="33"/>
  <c r="BJ154" i="33"/>
  <c r="BG154" i="33"/>
  <c r="BN154" i="32"/>
  <c r="BL154" i="32"/>
  <c r="BH155" i="32"/>
  <c r="BO154" i="32"/>
  <c r="BM154" i="32"/>
  <c r="BJ154" i="32"/>
  <c r="BG154" i="32"/>
  <c r="BH155" i="31"/>
  <c r="BO154" i="31"/>
  <c r="BM154" i="31"/>
  <c r="BJ154" i="31"/>
  <c r="BG154" i="31"/>
  <c r="BN154" i="31"/>
  <c r="BL154" i="31"/>
  <c r="AU153" i="29"/>
  <c r="AT153" i="29" s="1"/>
  <c r="BB152" i="29"/>
  <c r="AZ152" i="29"/>
  <c r="AW152" i="29"/>
  <c r="BA152" i="29"/>
  <c r="AY152" i="29"/>
  <c r="BH156" i="33" l="1"/>
  <c r="BO155" i="33"/>
  <c r="BM155" i="33"/>
  <c r="BJ155" i="33"/>
  <c r="BG155" i="33"/>
  <c r="BN155" i="33"/>
  <c r="BL155" i="33"/>
  <c r="BH156" i="32"/>
  <c r="BO155" i="32"/>
  <c r="BM155" i="32"/>
  <c r="BJ155" i="32"/>
  <c r="BG155" i="32"/>
  <c r="BN155" i="32"/>
  <c r="BL155" i="32"/>
  <c r="BN155" i="31"/>
  <c r="BL155" i="31"/>
  <c r="BH156" i="31"/>
  <c r="BO155" i="31"/>
  <c r="BM155" i="31"/>
  <c r="BJ155" i="31"/>
  <c r="BG155" i="31"/>
  <c r="BA153" i="29"/>
  <c r="AY153" i="29"/>
  <c r="AU154" i="29"/>
  <c r="AT154" i="29" s="1"/>
  <c r="BB153" i="29"/>
  <c r="AZ153" i="29"/>
  <c r="AW153" i="29"/>
  <c r="BN156" i="33" l="1"/>
  <c r="BL156" i="33"/>
  <c r="BH157" i="33"/>
  <c r="BO156" i="33"/>
  <c r="BM156" i="33"/>
  <c r="BJ156" i="33"/>
  <c r="BG156" i="33"/>
  <c r="BN156" i="32"/>
  <c r="BL156" i="32"/>
  <c r="BH157" i="32"/>
  <c r="BO156" i="32"/>
  <c r="BM156" i="32"/>
  <c r="BJ156" i="32"/>
  <c r="BG156" i="32"/>
  <c r="BH157" i="31"/>
  <c r="BO156" i="31"/>
  <c r="BM156" i="31"/>
  <c r="BJ156" i="31"/>
  <c r="BG156" i="31"/>
  <c r="BN156" i="31"/>
  <c r="BL156" i="31"/>
  <c r="AU155" i="29"/>
  <c r="AT155" i="29" s="1"/>
  <c r="BB154" i="29"/>
  <c r="AZ154" i="29"/>
  <c r="AW154" i="29"/>
  <c r="BA154" i="29"/>
  <c r="AY154" i="29"/>
  <c r="BH158" i="33" l="1"/>
  <c r="BO157" i="33"/>
  <c r="BM157" i="33"/>
  <c r="BJ157" i="33"/>
  <c r="BG157" i="33"/>
  <c r="BN157" i="33"/>
  <c r="BL157" i="33"/>
  <c r="BH158" i="32"/>
  <c r="BO157" i="32"/>
  <c r="BM157" i="32"/>
  <c r="BJ157" i="32"/>
  <c r="BG157" i="32"/>
  <c r="BN157" i="32"/>
  <c r="BL157" i="32"/>
  <c r="BN157" i="31"/>
  <c r="BL157" i="31"/>
  <c r="BH158" i="31"/>
  <c r="BO157" i="31"/>
  <c r="BM157" i="31"/>
  <c r="BJ157" i="31"/>
  <c r="BG157" i="31"/>
  <c r="BA155" i="29"/>
  <c r="AY155" i="29"/>
  <c r="AU156" i="29"/>
  <c r="AT156" i="29" s="1"/>
  <c r="BB155" i="29"/>
  <c r="AZ155" i="29"/>
  <c r="AW155" i="29"/>
  <c r="BN158" i="33" l="1"/>
  <c r="BL158" i="33"/>
  <c r="BH159" i="33"/>
  <c r="BO158" i="33"/>
  <c r="BM158" i="33"/>
  <c r="BJ158" i="33"/>
  <c r="BG158" i="33"/>
  <c r="BN158" i="32"/>
  <c r="BL158" i="32"/>
  <c r="BH159" i="32"/>
  <c r="BO158" i="32"/>
  <c r="BM158" i="32"/>
  <c r="BJ158" i="32"/>
  <c r="BG158" i="32"/>
  <c r="BN158" i="31"/>
  <c r="BL158" i="31"/>
  <c r="BH159" i="31"/>
  <c r="BO158" i="31"/>
  <c r="BM158" i="31"/>
  <c r="BJ158" i="31"/>
  <c r="BG158" i="31"/>
  <c r="AU157" i="29"/>
  <c r="AT157" i="29" s="1"/>
  <c r="BB156" i="29"/>
  <c r="AZ156" i="29"/>
  <c r="AW156" i="29"/>
  <c r="BA156" i="29"/>
  <c r="AY156" i="29"/>
  <c r="BH160" i="33" l="1"/>
  <c r="BO159" i="33"/>
  <c r="BM159" i="33"/>
  <c r="BJ159" i="33"/>
  <c r="BG159" i="33"/>
  <c r="BN159" i="33"/>
  <c r="BL159" i="33"/>
  <c r="BH160" i="32"/>
  <c r="BO159" i="32"/>
  <c r="BM159" i="32"/>
  <c r="BJ159" i="32"/>
  <c r="BG159" i="32"/>
  <c r="BN159" i="32"/>
  <c r="BL159" i="32"/>
  <c r="BH160" i="31"/>
  <c r="BO159" i="31"/>
  <c r="BM159" i="31"/>
  <c r="BJ159" i="31"/>
  <c r="BG159" i="31"/>
  <c r="BN159" i="31"/>
  <c r="BL159" i="31"/>
  <c r="AU158" i="29"/>
  <c r="AT158" i="29" s="1"/>
  <c r="BB157" i="29"/>
  <c r="AZ157" i="29"/>
  <c r="AW157" i="29"/>
  <c r="BA157" i="29"/>
  <c r="AY157" i="29"/>
  <c r="BN160" i="33" l="1"/>
  <c r="BL160" i="33"/>
  <c r="BH161" i="33"/>
  <c r="BO160" i="33"/>
  <c r="BM160" i="33"/>
  <c r="BJ160" i="33"/>
  <c r="BG160" i="33"/>
  <c r="BN160" i="32"/>
  <c r="BL160" i="32"/>
  <c r="BH161" i="32"/>
  <c r="BO160" i="32"/>
  <c r="BM160" i="32"/>
  <c r="BJ160" i="32"/>
  <c r="BG160" i="32"/>
  <c r="BN160" i="31"/>
  <c r="BL160" i="31"/>
  <c r="BH161" i="31"/>
  <c r="BG161" i="31" s="1"/>
  <c r="BO160" i="31"/>
  <c r="BM160" i="31"/>
  <c r="BJ160" i="31"/>
  <c r="BG160" i="31"/>
  <c r="BA158" i="29"/>
  <c r="AY158" i="29"/>
  <c r="AU159" i="29"/>
  <c r="AT159" i="29" s="1"/>
  <c r="BB158" i="29"/>
  <c r="AZ158" i="29"/>
  <c r="AW158" i="29"/>
  <c r="BH162" i="33" l="1"/>
  <c r="BO161" i="33"/>
  <c r="BM161" i="33"/>
  <c r="BJ161" i="33"/>
  <c r="BG161" i="33"/>
  <c r="BN161" i="33"/>
  <c r="BL161" i="33"/>
  <c r="BH162" i="32"/>
  <c r="BO161" i="32"/>
  <c r="BM161" i="32"/>
  <c r="BJ161" i="32"/>
  <c r="BG161" i="32"/>
  <c r="BN161" i="32"/>
  <c r="BL161" i="32"/>
  <c r="BH162" i="31"/>
  <c r="BO161" i="31"/>
  <c r="BM161" i="31"/>
  <c r="BJ161" i="31"/>
  <c r="BN161" i="31"/>
  <c r="BL161" i="31"/>
  <c r="AU160" i="29"/>
  <c r="AT160" i="29" s="1"/>
  <c r="BB159" i="29"/>
  <c r="AZ159" i="29"/>
  <c r="AW159" i="29"/>
  <c r="BA159" i="29"/>
  <c r="AY159" i="29"/>
  <c r="BN162" i="33" l="1"/>
  <c r="BL162" i="33"/>
  <c r="BH163" i="33"/>
  <c r="BO162" i="33"/>
  <c r="BM162" i="33"/>
  <c r="BJ162" i="33"/>
  <c r="BG162" i="33"/>
  <c r="BN162" i="32"/>
  <c r="BL162" i="32"/>
  <c r="BH163" i="32"/>
  <c r="BO162" i="32"/>
  <c r="BM162" i="32"/>
  <c r="BJ162" i="32"/>
  <c r="BG162" i="32"/>
  <c r="BN162" i="31"/>
  <c r="BL162" i="31"/>
  <c r="BH163" i="31"/>
  <c r="BO162" i="31"/>
  <c r="BM162" i="31"/>
  <c r="BJ162" i="31"/>
  <c r="BG162" i="31"/>
  <c r="BA160" i="29"/>
  <c r="AY160" i="29"/>
  <c r="AU161" i="29"/>
  <c r="AT161" i="29" s="1"/>
  <c r="BB160" i="29"/>
  <c r="AZ160" i="29"/>
  <c r="AW160" i="29"/>
  <c r="BH164" i="33" l="1"/>
  <c r="BO163" i="33"/>
  <c r="BM163" i="33"/>
  <c r="BJ163" i="33"/>
  <c r="BG163" i="33"/>
  <c r="BN163" i="33"/>
  <c r="BL163" i="33"/>
  <c r="BH164" i="32"/>
  <c r="BO163" i="32"/>
  <c r="BM163" i="32"/>
  <c r="BJ163" i="32"/>
  <c r="BG163" i="32"/>
  <c r="BN163" i="32"/>
  <c r="BL163" i="32"/>
  <c r="BH164" i="31"/>
  <c r="BO163" i="31"/>
  <c r="BM163" i="31"/>
  <c r="BJ163" i="31"/>
  <c r="BG163" i="31"/>
  <c r="BN163" i="31"/>
  <c r="BL163" i="31"/>
  <c r="AU162" i="29"/>
  <c r="AT162" i="29" s="1"/>
  <c r="BB161" i="29"/>
  <c r="AZ161" i="29"/>
  <c r="AW161" i="29"/>
  <c r="BA161" i="29"/>
  <c r="AY161" i="29"/>
  <c r="BN164" i="33" l="1"/>
  <c r="BL164" i="33"/>
  <c r="BH165" i="33"/>
  <c r="BO164" i="33"/>
  <c r="BM164" i="33"/>
  <c r="BJ164" i="33"/>
  <c r="BG164" i="33"/>
  <c r="BN164" i="32"/>
  <c r="BL164" i="32"/>
  <c r="BH165" i="32"/>
  <c r="BO164" i="32"/>
  <c r="BM164" i="32"/>
  <c r="BJ164" i="32"/>
  <c r="BG164" i="32"/>
  <c r="BN164" i="31"/>
  <c r="BL164" i="31"/>
  <c r="BH165" i="31"/>
  <c r="BG165" i="31" s="1"/>
  <c r="BO164" i="31"/>
  <c r="BM164" i="31"/>
  <c r="BJ164" i="31"/>
  <c r="BG164" i="31"/>
  <c r="BA162" i="29"/>
  <c r="AY162" i="29"/>
  <c r="AU163" i="29"/>
  <c r="AT163" i="29" s="1"/>
  <c r="BB162" i="29"/>
  <c r="AZ162" i="29"/>
  <c r="AW162" i="29"/>
  <c r="BH166" i="33" l="1"/>
  <c r="BO165" i="33"/>
  <c r="BM165" i="33"/>
  <c r="BJ165" i="33"/>
  <c r="BG165" i="33"/>
  <c r="BN165" i="33"/>
  <c r="BL165" i="33"/>
  <c r="BH166" i="32"/>
  <c r="BO165" i="32"/>
  <c r="BM165" i="32"/>
  <c r="BJ165" i="32"/>
  <c r="BG165" i="32"/>
  <c r="BN165" i="32"/>
  <c r="BL165" i="32"/>
  <c r="BH166" i="31"/>
  <c r="BF166" i="31" s="1"/>
  <c r="BO165" i="31"/>
  <c r="BM165" i="31"/>
  <c r="BJ165" i="31"/>
  <c r="BN165" i="31"/>
  <c r="BL165" i="31"/>
  <c r="AU164" i="29"/>
  <c r="AT164" i="29" s="1"/>
  <c r="BB163" i="29"/>
  <c r="AZ163" i="29"/>
  <c r="AW163" i="29"/>
  <c r="BA163" i="29"/>
  <c r="AY163" i="29"/>
  <c r="BG166" i="31" l="1"/>
  <c r="BN166" i="33"/>
  <c r="BL166" i="33"/>
  <c r="BH167" i="33"/>
  <c r="BO166" i="33"/>
  <c r="BM166" i="33"/>
  <c r="BJ166" i="33"/>
  <c r="BG166" i="33"/>
  <c r="BN166" i="32"/>
  <c r="BL166" i="32"/>
  <c r="BH167" i="32"/>
  <c r="BO166" i="32"/>
  <c r="BM166" i="32"/>
  <c r="BJ166" i="32"/>
  <c r="BG166" i="32"/>
  <c r="BN166" i="31"/>
  <c r="BL166" i="31"/>
  <c r="BH167" i="31"/>
  <c r="BO166" i="31"/>
  <c r="BM166" i="31"/>
  <c r="BJ166" i="31"/>
  <c r="BA164" i="29"/>
  <c r="AY164" i="29"/>
  <c r="AU165" i="29"/>
  <c r="AT165" i="29" s="1"/>
  <c r="BB164" i="29"/>
  <c r="AZ164" i="29"/>
  <c r="AW164" i="29"/>
  <c r="BH168" i="33" l="1"/>
  <c r="BO167" i="33"/>
  <c r="BM167" i="33"/>
  <c r="BJ167" i="33"/>
  <c r="BG167" i="33"/>
  <c r="BN167" i="33"/>
  <c r="BL167" i="33"/>
  <c r="BH168" i="32"/>
  <c r="BO167" i="32"/>
  <c r="BM167" i="32"/>
  <c r="BJ167" i="32"/>
  <c r="BG167" i="32"/>
  <c r="BN167" i="32"/>
  <c r="BL167" i="32"/>
  <c r="BH168" i="31"/>
  <c r="BO167" i="31"/>
  <c r="BM167" i="31"/>
  <c r="BJ167" i="31"/>
  <c r="BG167" i="31"/>
  <c r="BN167" i="31"/>
  <c r="BL167" i="31"/>
  <c r="AU166" i="29"/>
  <c r="AT166" i="29" s="1"/>
  <c r="BB165" i="29"/>
  <c r="AZ165" i="29"/>
  <c r="AW165" i="29"/>
  <c r="BA165" i="29"/>
  <c r="AY165" i="29"/>
  <c r="BN168" i="33" l="1"/>
  <c r="BL168" i="33"/>
  <c r="BH169" i="33"/>
  <c r="BO168" i="33"/>
  <c r="BM168" i="33"/>
  <c r="BJ168" i="33"/>
  <c r="BG168" i="33"/>
  <c r="BN168" i="32"/>
  <c r="BL168" i="32"/>
  <c r="BH169" i="32"/>
  <c r="BO168" i="32"/>
  <c r="BM168" i="32"/>
  <c r="BJ168" i="32"/>
  <c r="BG168" i="32"/>
  <c r="BN168" i="31"/>
  <c r="BL168" i="31"/>
  <c r="BH169" i="31"/>
  <c r="BO168" i="31"/>
  <c r="BM168" i="31"/>
  <c r="BJ168" i="31"/>
  <c r="BG168" i="31"/>
  <c r="BA166" i="29"/>
  <c r="AY166" i="29"/>
  <c r="AU167" i="29"/>
  <c r="AT167" i="29" s="1"/>
  <c r="BB166" i="29"/>
  <c r="AZ166" i="29"/>
  <c r="AW166" i="29"/>
  <c r="BH170" i="33" l="1"/>
  <c r="BG170" i="33" s="1"/>
  <c r="BO169" i="33"/>
  <c r="BM169" i="33"/>
  <c r="BJ169" i="33"/>
  <c r="BG169" i="33"/>
  <c r="BN169" i="33"/>
  <c r="BL169" i="33"/>
  <c r="BH170" i="32"/>
  <c r="BO169" i="32"/>
  <c r="BM169" i="32"/>
  <c r="BJ169" i="32"/>
  <c r="BG169" i="32"/>
  <c r="BN169" i="32"/>
  <c r="BL169" i="32"/>
  <c r="BH170" i="31"/>
  <c r="BO169" i="31"/>
  <c r="BM169" i="31"/>
  <c r="BJ169" i="31"/>
  <c r="BG169" i="31"/>
  <c r="BN169" i="31"/>
  <c r="BL169" i="31"/>
  <c r="AU168" i="29"/>
  <c r="AT168" i="29" s="1"/>
  <c r="BB167" i="29"/>
  <c r="AZ167" i="29"/>
  <c r="AW167" i="29"/>
  <c r="BA167" i="29"/>
  <c r="AY167" i="29"/>
  <c r="BN170" i="33" l="1"/>
  <c r="BL170" i="33"/>
  <c r="BH171" i="33"/>
  <c r="BG171" i="33" s="1"/>
  <c r="BO170" i="33"/>
  <c r="BM170" i="33"/>
  <c r="BJ170" i="33"/>
  <c r="BH171" i="32"/>
  <c r="BO170" i="32"/>
  <c r="BM170" i="32"/>
  <c r="BN170" i="32"/>
  <c r="BL170" i="32"/>
  <c r="BJ170" i="32"/>
  <c r="BG170" i="32"/>
  <c r="BN170" i="31"/>
  <c r="BL170" i="31"/>
  <c r="BH171" i="31"/>
  <c r="BO170" i="31"/>
  <c r="BM170" i="31"/>
  <c r="BJ170" i="31"/>
  <c r="BG170" i="31"/>
  <c r="BA168" i="29"/>
  <c r="AY168" i="29"/>
  <c r="AU169" i="29"/>
  <c r="AT169" i="29" s="1"/>
  <c r="BB168" i="29"/>
  <c r="AZ168" i="29"/>
  <c r="AW168" i="29"/>
  <c r="BH172" i="33" l="1"/>
  <c r="BO171" i="33"/>
  <c r="BM171" i="33"/>
  <c r="BJ171" i="33"/>
  <c r="BN171" i="33"/>
  <c r="BL171" i="33"/>
  <c r="BN171" i="32"/>
  <c r="BL171" i="32"/>
  <c r="BH172" i="32"/>
  <c r="BO171" i="32"/>
  <c r="BM171" i="32"/>
  <c r="BJ171" i="32"/>
  <c r="BG171" i="32"/>
  <c r="BH172" i="31"/>
  <c r="BO171" i="31"/>
  <c r="BM171" i="31"/>
  <c r="BJ171" i="31"/>
  <c r="BG171" i="31"/>
  <c r="BN171" i="31"/>
  <c r="BL171" i="31"/>
  <c r="AU170" i="29"/>
  <c r="AT170" i="29" s="1"/>
  <c r="BB169" i="29"/>
  <c r="AZ169" i="29"/>
  <c r="AW169" i="29"/>
  <c r="BA169" i="29"/>
  <c r="AY169" i="29"/>
  <c r="BN172" i="33" l="1"/>
  <c r="BL172" i="33"/>
  <c r="BH173" i="33"/>
  <c r="BO172" i="33"/>
  <c r="BM172" i="33"/>
  <c r="BJ172" i="33"/>
  <c r="BG172" i="33"/>
  <c r="BH173" i="32"/>
  <c r="BO172" i="32"/>
  <c r="BM172" i="32"/>
  <c r="BJ172" i="32"/>
  <c r="BG172" i="32"/>
  <c r="BN172" i="32"/>
  <c r="BL172" i="32"/>
  <c r="BN172" i="31"/>
  <c r="BL172" i="31"/>
  <c r="BH173" i="31"/>
  <c r="BO172" i="31"/>
  <c r="BM172" i="31"/>
  <c r="BJ172" i="31"/>
  <c r="BG172" i="31"/>
  <c r="BA170" i="29"/>
  <c r="AY170" i="29"/>
  <c r="AU171" i="29"/>
  <c r="AT171" i="29" s="1"/>
  <c r="BB170" i="29"/>
  <c r="AZ170" i="29"/>
  <c r="AW170" i="29"/>
  <c r="BH174" i="33" l="1"/>
  <c r="BO173" i="33"/>
  <c r="BM173" i="33"/>
  <c r="BJ173" i="33"/>
  <c r="BG173" i="33"/>
  <c r="BN173" i="33"/>
  <c r="BL173" i="33"/>
  <c r="BN173" i="32"/>
  <c r="BL173" i="32"/>
  <c r="BH174" i="32"/>
  <c r="BO173" i="32"/>
  <c r="BM173" i="32"/>
  <c r="BJ173" i="32"/>
  <c r="BG173" i="32"/>
  <c r="BH174" i="31"/>
  <c r="BO173" i="31"/>
  <c r="BM173" i="31"/>
  <c r="BJ173" i="31"/>
  <c r="BG173" i="31"/>
  <c r="BN173" i="31"/>
  <c r="BL173" i="31"/>
  <c r="AU172" i="29"/>
  <c r="AT172" i="29" s="1"/>
  <c r="BB171" i="29"/>
  <c r="AZ171" i="29"/>
  <c r="AW171" i="29"/>
  <c r="BA171" i="29"/>
  <c r="AY171" i="29"/>
  <c r="BN174" i="33" l="1"/>
  <c r="BL174" i="33"/>
  <c r="BH175" i="33"/>
  <c r="BO174" i="33"/>
  <c r="BM174" i="33"/>
  <c r="BJ174" i="33"/>
  <c r="BG174" i="33"/>
  <c r="BH175" i="32"/>
  <c r="BO174" i="32"/>
  <c r="BM174" i="32"/>
  <c r="BJ174" i="32"/>
  <c r="BG174" i="32"/>
  <c r="BN174" i="32"/>
  <c r="BL174" i="32"/>
  <c r="BN174" i="31"/>
  <c r="BL174" i="31"/>
  <c r="BH175" i="31"/>
  <c r="BO174" i="31"/>
  <c r="BM174" i="31"/>
  <c r="BJ174" i="31"/>
  <c r="BG174" i="31"/>
  <c r="BA172" i="29"/>
  <c r="AY172" i="29"/>
  <c r="AU173" i="29"/>
  <c r="AT173" i="29" s="1"/>
  <c r="BB172" i="29"/>
  <c r="AZ172" i="29"/>
  <c r="AW172" i="29"/>
  <c r="BH176" i="33" l="1"/>
  <c r="BO175" i="33"/>
  <c r="BM175" i="33"/>
  <c r="BJ175" i="33"/>
  <c r="BG175" i="33"/>
  <c r="BN175" i="33"/>
  <c r="BL175" i="33"/>
  <c r="BN175" i="32"/>
  <c r="BL175" i="32"/>
  <c r="BH176" i="32"/>
  <c r="BO175" i="32"/>
  <c r="BM175" i="32"/>
  <c r="BJ175" i="32"/>
  <c r="BG175" i="32"/>
  <c r="BH176" i="31"/>
  <c r="BO175" i="31"/>
  <c r="BM175" i="31"/>
  <c r="BJ175" i="31"/>
  <c r="BG175" i="31"/>
  <c r="BN175" i="31"/>
  <c r="BL175" i="31"/>
  <c r="AU174" i="29"/>
  <c r="AT174" i="29" s="1"/>
  <c r="BB173" i="29"/>
  <c r="AZ173" i="29"/>
  <c r="AW173" i="29"/>
  <c r="BA173" i="29"/>
  <c r="AY173" i="29"/>
  <c r="BN176" i="33" l="1"/>
  <c r="BL176" i="33"/>
  <c r="BH177" i="33"/>
  <c r="BO176" i="33"/>
  <c r="BM176" i="33"/>
  <c r="BJ176" i="33"/>
  <c r="BG176" i="33"/>
  <c r="BH177" i="32"/>
  <c r="BO176" i="32"/>
  <c r="BM176" i="32"/>
  <c r="BJ176" i="32"/>
  <c r="BG176" i="32"/>
  <c r="BN176" i="32"/>
  <c r="BL176" i="32"/>
  <c r="BN176" i="31"/>
  <c r="BL176" i="31"/>
  <c r="BH177" i="31"/>
  <c r="BO176" i="31"/>
  <c r="BM176" i="31"/>
  <c r="BJ176" i="31"/>
  <c r="BG176" i="31"/>
  <c r="BA174" i="29"/>
  <c r="AY174" i="29"/>
  <c r="AU175" i="29"/>
  <c r="AT175" i="29" s="1"/>
  <c r="BB174" i="29"/>
  <c r="AZ174" i="29"/>
  <c r="AW174" i="29"/>
  <c r="BH178" i="33" l="1"/>
  <c r="BO177" i="33"/>
  <c r="BM177" i="33"/>
  <c r="BJ177" i="33"/>
  <c r="BG177" i="33"/>
  <c r="BN177" i="33"/>
  <c r="BL177" i="33"/>
  <c r="BN177" i="32"/>
  <c r="BL177" i="32"/>
  <c r="BH178" i="32"/>
  <c r="BO177" i="32"/>
  <c r="BM177" i="32"/>
  <c r="BJ177" i="32"/>
  <c r="BG177" i="32"/>
  <c r="BH178" i="31"/>
  <c r="BO177" i="31"/>
  <c r="BM177" i="31"/>
  <c r="BJ177" i="31"/>
  <c r="BG177" i="31"/>
  <c r="BN177" i="31"/>
  <c r="BL177" i="31"/>
  <c r="AU176" i="29"/>
  <c r="AT176" i="29" s="1"/>
  <c r="BB175" i="29"/>
  <c r="AZ175" i="29"/>
  <c r="AW175" i="29"/>
  <c r="BA175" i="29"/>
  <c r="AY175" i="29"/>
  <c r="BN178" i="33" l="1"/>
  <c r="BL178" i="33"/>
  <c r="BH179" i="33"/>
  <c r="BO178" i="33"/>
  <c r="BM178" i="33"/>
  <c r="BJ178" i="33"/>
  <c r="BG178" i="33"/>
  <c r="BH179" i="32"/>
  <c r="BO178" i="32"/>
  <c r="BM178" i="32"/>
  <c r="BJ178" i="32"/>
  <c r="BG178" i="32"/>
  <c r="BN178" i="32"/>
  <c r="BL178" i="32"/>
  <c r="BN178" i="31"/>
  <c r="BL178" i="31"/>
  <c r="BH179" i="31"/>
  <c r="BO178" i="31"/>
  <c r="BM178" i="31"/>
  <c r="BJ178" i="31"/>
  <c r="BG178" i="31"/>
  <c r="BA176" i="29"/>
  <c r="AY176" i="29"/>
  <c r="AU177" i="29"/>
  <c r="AT177" i="29" s="1"/>
  <c r="BB176" i="29"/>
  <c r="AZ176" i="29"/>
  <c r="AW176" i="29"/>
  <c r="BH180" i="33" l="1"/>
  <c r="BO179" i="33"/>
  <c r="BM179" i="33"/>
  <c r="BJ179" i="33"/>
  <c r="BG179" i="33"/>
  <c r="BN179" i="33"/>
  <c r="BL179" i="33"/>
  <c r="BN179" i="32"/>
  <c r="BL179" i="32"/>
  <c r="BH180" i="32"/>
  <c r="BO179" i="32"/>
  <c r="BM179" i="32"/>
  <c r="BJ179" i="32"/>
  <c r="BG179" i="32"/>
  <c r="BH180" i="31"/>
  <c r="BO179" i="31"/>
  <c r="BM179" i="31"/>
  <c r="BJ179" i="31"/>
  <c r="BG179" i="31"/>
  <c r="BN179" i="31"/>
  <c r="BL179" i="31"/>
  <c r="AU178" i="29"/>
  <c r="AT178" i="29" s="1"/>
  <c r="BB177" i="29"/>
  <c r="AZ177" i="29"/>
  <c r="AW177" i="29"/>
  <c r="BA177" i="29"/>
  <c r="AY177" i="29"/>
  <c r="BN180" i="33" l="1"/>
  <c r="BL180" i="33"/>
  <c r="BH181" i="33"/>
  <c r="BO180" i="33"/>
  <c r="BM180" i="33"/>
  <c r="BJ180" i="33"/>
  <c r="BG180" i="33"/>
  <c r="BH181" i="32"/>
  <c r="BO180" i="32"/>
  <c r="BM180" i="32"/>
  <c r="BJ180" i="32"/>
  <c r="BG180" i="32"/>
  <c r="BN180" i="32"/>
  <c r="BL180" i="32"/>
  <c r="BN180" i="31"/>
  <c r="BL180" i="31"/>
  <c r="BH181" i="31"/>
  <c r="BO180" i="31"/>
  <c r="BM180" i="31"/>
  <c r="BJ180" i="31"/>
  <c r="BG180" i="31"/>
  <c r="BA178" i="29"/>
  <c r="AY178" i="29"/>
  <c r="AU179" i="29"/>
  <c r="AT179" i="29" s="1"/>
  <c r="BB178" i="29"/>
  <c r="AZ178" i="29"/>
  <c r="AW178" i="29"/>
  <c r="BH182" i="33" l="1"/>
  <c r="BO181" i="33"/>
  <c r="BM181" i="33"/>
  <c r="BJ181" i="33"/>
  <c r="BG181" i="33"/>
  <c r="BN181" i="33"/>
  <c r="BL181" i="33"/>
  <c r="BN181" i="32"/>
  <c r="BL181" i="32"/>
  <c r="BH182" i="32"/>
  <c r="BO181" i="32"/>
  <c r="BM181" i="32"/>
  <c r="BJ181" i="32"/>
  <c r="BG181" i="32"/>
  <c r="BH182" i="31"/>
  <c r="BO181" i="31"/>
  <c r="BM181" i="31"/>
  <c r="BJ181" i="31"/>
  <c r="BG181" i="31"/>
  <c r="BN181" i="31"/>
  <c r="BL181" i="31"/>
  <c r="AU180" i="29"/>
  <c r="AT180" i="29" s="1"/>
  <c r="BB179" i="29"/>
  <c r="AZ179" i="29"/>
  <c r="AW179" i="29"/>
  <c r="BA179" i="29"/>
  <c r="AY179" i="29"/>
  <c r="BN182" i="33" l="1"/>
  <c r="BL182" i="33"/>
  <c r="BH183" i="33"/>
  <c r="BO182" i="33"/>
  <c r="BM182" i="33"/>
  <c r="BJ182" i="33"/>
  <c r="BG182" i="33"/>
  <c r="BH183" i="32"/>
  <c r="BO182" i="32"/>
  <c r="BM182" i="32"/>
  <c r="BJ182" i="32"/>
  <c r="BG182" i="32"/>
  <c r="BN182" i="32"/>
  <c r="BL182" i="32"/>
  <c r="BH183" i="31"/>
  <c r="BO182" i="31"/>
  <c r="BN182" i="31"/>
  <c r="BL182" i="31"/>
  <c r="BM182" i="31"/>
  <c r="BJ182" i="31"/>
  <c r="BG182" i="31"/>
  <c r="BA180" i="29"/>
  <c r="AY180" i="29"/>
  <c r="AU181" i="29"/>
  <c r="AT181" i="29" s="1"/>
  <c r="BB180" i="29"/>
  <c r="AZ180" i="29"/>
  <c r="AW180" i="29"/>
  <c r="BH184" i="33" l="1"/>
  <c r="BO183" i="33"/>
  <c r="BM183" i="33"/>
  <c r="BJ183" i="33"/>
  <c r="BG183" i="33"/>
  <c r="BN183" i="33"/>
  <c r="BL183" i="33"/>
  <c r="BN183" i="32"/>
  <c r="BL183" i="32"/>
  <c r="BH184" i="32"/>
  <c r="BO183" i="32"/>
  <c r="BM183" i="32"/>
  <c r="BJ183" i="32"/>
  <c r="BG183" i="32"/>
  <c r="BN183" i="31"/>
  <c r="BL183" i="31"/>
  <c r="BH184" i="31"/>
  <c r="BO183" i="31"/>
  <c r="BM183" i="31"/>
  <c r="BJ183" i="31"/>
  <c r="BG183" i="31"/>
  <c r="AU182" i="29"/>
  <c r="AT182" i="29" s="1"/>
  <c r="BB181" i="29"/>
  <c r="BA181" i="29"/>
  <c r="AZ181" i="29"/>
  <c r="AW181" i="29"/>
  <c r="AY181" i="29"/>
  <c r="BN184" i="33" l="1"/>
  <c r="BL184" i="33"/>
  <c r="BH185" i="33"/>
  <c r="BO184" i="33"/>
  <c r="BM184" i="33"/>
  <c r="BJ184" i="33"/>
  <c r="BG184" i="33"/>
  <c r="BH185" i="32"/>
  <c r="BO184" i="32"/>
  <c r="BM184" i="32"/>
  <c r="BJ184" i="32"/>
  <c r="BG184" i="32"/>
  <c r="BN184" i="32"/>
  <c r="BL184" i="32"/>
  <c r="BH185" i="31"/>
  <c r="BO184" i="31"/>
  <c r="BM184" i="31"/>
  <c r="BJ184" i="31"/>
  <c r="BG184" i="31"/>
  <c r="BN184" i="31"/>
  <c r="BL184" i="31"/>
  <c r="BA182" i="29"/>
  <c r="AY182" i="29"/>
  <c r="AU183" i="29"/>
  <c r="AT183" i="29" s="1"/>
  <c r="BB182" i="29"/>
  <c r="AZ182" i="29"/>
  <c r="AW182" i="29"/>
  <c r="BH186" i="33" l="1"/>
  <c r="BO185" i="33"/>
  <c r="BM185" i="33"/>
  <c r="BJ185" i="33"/>
  <c r="BG185" i="33"/>
  <c r="BN185" i="33"/>
  <c r="BL185" i="33"/>
  <c r="BN185" i="32"/>
  <c r="BL185" i="32"/>
  <c r="BH186" i="32"/>
  <c r="BO185" i="32"/>
  <c r="BM185" i="32"/>
  <c r="BJ185" i="32"/>
  <c r="BG185" i="32"/>
  <c r="BN185" i="31"/>
  <c r="BL185" i="31"/>
  <c r="BH186" i="31"/>
  <c r="BO185" i="31"/>
  <c r="BM185" i="31"/>
  <c r="BJ185" i="31"/>
  <c r="BG185" i="31"/>
  <c r="AU184" i="29"/>
  <c r="AT184" i="29" s="1"/>
  <c r="BB183" i="29"/>
  <c r="AZ183" i="29"/>
  <c r="AW183" i="29"/>
  <c r="BA183" i="29"/>
  <c r="AY183" i="29"/>
  <c r="BN186" i="33" l="1"/>
  <c r="BL186" i="33"/>
  <c r="BH187" i="33"/>
  <c r="BO186" i="33"/>
  <c r="BM186" i="33"/>
  <c r="BJ186" i="33"/>
  <c r="BG186" i="33"/>
  <c r="BH187" i="32"/>
  <c r="BO186" i="32"/>
  <c r="BM186" i="32"/>
  <c r="BJ186" i="32"/>
  <c r="BG186" i="32"/>
  <c r="BN186" i="32"/>
  <c r="BL186" i="32"/>
  <c r="BH187" i="31"/>
  <c r="BO186" i="31"/>
  <c r="BM186" i="31"/>
  <c r="BJ186" i="31"/>
  <c r="BG186" i="31"/>
  <c r="BN186" i="31"/>
  <c r="BL186" i="31"/>
  <c r="BA184" i="29"/>
  <c r="AY184" i="29"/>
  <c r="AU185" i="29"/>
  <c r="AT185" i="29" s="1"/>
  <c r="BB184" i="29"/>
  <c r="AZ184" i="29"/>
  <c r="AW184" i="29"/>
  <c r="BH188" i="33" l="1"/>
  <c r="BO187" i="33"/>
  <c r="BM187" i="33"/>
  <c r="BJ187" i="33"/>
  <c r="BG187" i="33"/>
  <c r="BN187" i="33"/>
  <c r="BL187" i="33"/>
  <c r="BN187" i="32"/>
  <c r="BL187" i="32"/>
  <c r="BH188" i="32"/>
  <c r="BO187" i="32"/>
  <c r="BM187" i="32"/>
  <c r="BJ187" i="32"/>
  <c r="BG187" i="32"/>
  <c r="BN187" i="31"/>
  <c r="BL187" i="31"/>
  <c r="BH188" i="31"/>
  <c r="BO187" i="31"/>
  <c r="BM187" i="31"/>
  <c r="BJ187" i="31"/>
  <c r="BG187" i="31"/>
  <c r="AU186" i="29"/>
  <c r="AT186" i="29" s="1"/>
  <c r="BB185" i="29"/>
  <c r="AZ185" i="29"/>
  <c r="AW185" i="29"/>
  <c r="BA185" i="29"/>
  <c r="AY185" i="29"/>
  <c r="BN188" i="33" l="1"/>
  <c r="BL188" i="33"/>
  <c r="BH189" i="33"/>
  <c r="BO188" i="33"/>
  <c r="BM188" i="33"/>
  <c r="BJ188" i="33"/>
  <c r="BG188" i="33"/>
  <c r="BH189" i="32"/>
  <c r="BO188" i="32"/>
  <c r="BM188" i="32"/>
  <c r="BJ188" i="32"/>
  <c r="BG188" i="32"/>
  <c r="BN188" i="32"/>
  <c r="BL188" i="32"/>
  <c r="BH189" i="31"/>
  <c r="BO188" i="31"/>
  <c r="BM188" i="31"/>
  <c r="BJ188" i="31"/>
  <c r="BG188" i="31"/>
  <c r="BN188" i="31"/>
  <c r="BL188" i="31"/>
  <c r="BA186" i="29"/>
  <c r="AY186" i="29"/>
  <c r="AU187" i="29"/>
  <c r="AT187" i="29" s="1"/>
  <c r="BB186" i="29"/>
  <c r="AZ186" i="29"/>
  <c r="AW186" i="29"/>
  <c r="BH190" i="33" l="1"/>
  <c r="BO189" i="33"/>
  <c r="BM189" i="33"/>
  <c r="BJ189" i="33"/>
  <c r="BG189" i="33"/>
  <c r="BN189" i="33"/>
  <c r="BL189" i="33"/>
  <c r="BN189" i="32"/>
  <c r="BL189" i="32"/>
  <c r="BH190" i="32"/>
  <c r="BO189" i="32"/>
  <c r="BM189" i="32"/>
  <c r="BJ189" i="32"/>
  <c r="BG189" i="32"/>
  <c r="BN189" i="31"/>
  <c r="BL189" i="31"/>
  <c r="BH190" i="31"/>
  <c r="BO189" i="31"/>
  <c r="BM189" i="31"/>
  <c r="BJ189" i="31"/>
  <c r="BG189" i="31"/>
  <c r="AU188" i="29"/>
  <c r="AT188" i="29" s="1"/>
  <c r="BB187" i="29"/>
  <c r="AZ187" i="29"/>
  <c r="AW187" i="29"/>
  <c r="BA187" i="29"/>
  <c r="AY187" i="29"/>
  <c r="BN190" i="33" l="1"/>
  <c r="BL190" i="33"/>
  <c r="BH191" i="33"/>
  <c r="BO190" i="33"/>
  <c r="BM190" i="33"/>
  <c r="BJ190" i="33"/>
  <c r="BG190" i="33"/>
  <c r="BH191" i="32"/>
  <c r="BO190" i="32"/>
  <c r="BM190" i="32"/>
  <c r="BJ190" i="32"/>
  <c r="BG190" i="32"/>
  <c r="BN190" i="32"/>
  <c r="BL190" i="32"/>
  <c r="BH191" i="31"/>
  <c r="BO190" i="31"/>
  <c r="BM190" i="31"/>
  <c r="BJ190" i="31"/>
  <c r="BG190" i="31"/>
  <c r="BN190" i="31"/>
  <c r="BL190" i="31"/>
  <c r="BA188" i="29"/>
  <c r="AY188" i="29"/>
  <c r="AU189" i="29"/>
  <c r="AT189" i="29" s="1"/>
  <c r="BB188" i="29"/>
  <c r="AZ188" i="29"/>
  <c r="AW188" i="29"/>
  <c r="BH192" i="33" l="1"/>
  <c r="BO191" i="33"/>
  <c r="BM191" i="33"/>
  <c r="BJ191" i="33"/>
  <c r="BG191" i="33"/>
  <c r="BN191" i="33"/>
  <c r="BL191" i="33"/>
  <c r="BN191" i="32"/>
  <c r="BL191" i="32"/>
  <c r="BH192" i="32"/>
  <c r="BO191" i="32"/>
  <c r="BM191" i="32"/>
  <c r="BJ191" i="32"/>
  <c r="BG191" i="32"/>
  <c r="BN191" i="31"/>
  <c r="BL191" i="31"/>
  <c r="BH192" i="31"/>
  <c r="BO191" i="31"/>
  <c r="BM191" i="31"/>
  <c r="BJ191" i="31"/>
  <c r="BG191" i="31"/>
  <c r="AU190" i="29"/>
  <c r="AT190" i="29" s="1"/>
  <c r="BB189" i="29"/>
  <c r="AZ189" i="29"/>
  <c r="AW189" i="29"/>
  <c r="BA189" i="29"/>
  <c r="AY189" i="29"/>
  <c r="BN192" i="33" l="1"/>
  <c r="BL192" i="33"/>
  <c r="BH193" i="33"/>
  <c r="BO192" i="33"/>
  <c r="BM192" i="33"/>
  <c r="BJ192" i="33"/>
  <c r="BG192" i="33"/>
  <c r="BH193" i="32"/>
  <c r="BO192" i="32"/>
  <c r="BM192" i="32"/>
  <c r="BJ192" i="32"/>
  <c r="BG192" i="32"/>
  <c r="BN192" i="32"/>
  <c r="BL192" i="32"/>
  <c r="BH193" i="31"/>
  <c r="BO192" i="31"/>
  <c r="BM192" i="31"/>
  <c r="BJ192" i="31"/>
  <c r="BG192" i="31"/>
  <c r="BN192" i="31"/>
  <c r="BL192" i="31"/>
  <c r="BA190" i="29"/>
  <c r="AY190" i="29"/>
  <c r="AU191" i="29"/>
  <c r="AT191" i="29" s="1"/>
  <c r="BB190" i="29"/>
  <c r="AZ190" i="29"/>
  <c r="AW190" i="29"/>
  <c r="BH194" i="33" l="1"/>
  <c r="BO193" i="33"/>
  <c r="BM193" i="33"/>
  <c r="BJ193" i="33"/>
  <c r="BG193" i="33"/>
  <c r="BN193" i="33"/>
  <c r="BL193" i="33"/>
  <c r="BN193" i="32"/>
  <c r="BL193" i="32"/>
  <c r="BH194" i="32"/>
  <c r="BO193" i="32"/>
  <c r="BM193" i="32"/>
  <c r="BJ193" i="32"/>
  <c r="BG193" i="32"/>
  <c r="BN193" i="31"/>
  <c r="BL193" i="31"/>
  <c r="BH194" i="31"/>
  <c r="BO193" i="31"/>
  <c r="BM193" i="31"/>
  <c r="BJ193" i="31"/>
  <c r="BG193" i="31"/>
  <c r="AU192" i="29"/>
  <c r="AT192" i="29" s="1"/>
  <c r="BB191" i="29"/>
  <c r="AZ191" i="29"/>
  <c r="AW191" i="29"/>
  <c r="BA191" i="29"/>
  <c r="AY191" i="29"/>
  <c r="BH195" i="33" l="1"/>
  <c r="BO194" i="33"/>
  <c r="BN194" i="33"/>
  <c r="BL194" i="33"/>
  <c r="BM194" i="33"/>
  <c r="BJ194" i="33"/>
  <c r="BG194" i="33"/>
  <c r="BH195" i="32"/>
  <c r="BO194" i="32"/>
  <c r="BM194" i="32"/>
  <c r="BJ194" i="32"/>
  <c r="BG194" i="32"/>
  <c r="BN194" i="32"/>
  <c r="BL194" i="32"/>
  <c r="BH195" i="31"/>
  <c r="BO194" i="31"/>
  <c r="BM194" i="31"/>
  <c r="BJ194" i="31"/>
  <c r="BG194" i="31"/>
  <c r="BN194" i="31"/>
  <c r="BL194" i="31"/>
  <c r="BA192" i="29"/>
  <c r="AY192" i="29"/>
  <c r="AU193" i="29"/>
  <c r="AT193" i="29" s="1"/>
  <c r="BB192" i="29"/>
  <c r="AZ192" i="29"/>
  <c r="AW192" i="29"/>
  <c r="BN195" i="33" l="1"/>
  <c r="BL195" i="33"/>
  <c r="BH196" i="33"/>
  <c r="BO195" i="33"/>
  <c r="BM195" i="33"/>
  <c r="BJ195" i="33"/>
  <c r="BG195" i="33"/>
  <c r="BN195" i="32"/>
  <c r="BL195" i="32"/>
  <c r="BH196" i="32"/>
  <c r="BO195" i="32"/>
  <c r="BM195" i="32"/>
  <c r="BJ195" i="32"/>
  <c r="BG195" i="32"/>
  <c r="BN195" i="31"/>
  <c r="BL195" i="31"/>
  <c r="BH196" i="31"/>
  <c r="BO195" i="31"/>
  <c r="BM195" i="31"/>
  <c r="BJ195" i="31"/>
  <c r="BG195" i="31"/>
  <c r="AU194" i="29"/>
  <c r="AT194" i="29" s="1"/>
  <c r="BB193" i="29"/>
  <c r="AZ193" i="29"/>
  <c r="AW193" i="29"/>
  <c r="BA193" i="29"/>
  <c r="AY193" i="29"/>
  <c r="BH197" i="33" l="1"/>
  <c r="BO196" i="33"/>
  <c r="BM196" i="33"/>
  <c r="BJ196" i="33"/>
  <c r="BG196" i="33"/>
  <c r="BN196" i="33"/>
  <c r="BL196" i="33"/>
  <c r="BH197" i="32"/>
  <c r="BO196" i="32"/>
  <c r="BM196" i="32"/>
  <c r="BJ196" i="32"/>
  <c r="BG196" i="32"/>
  <c r="BN196" i="32"/>
  <c r="BL196" i="32"/>
  <c r="BH197" i="31"/>
  <c r="BO196" i="31"/>
  <c r="BM196" i="31"/>
  <c r="BJ196" i="31"/>
  <c r="BG196" i="31"/>
  <c r="BN196" i="31"/>
  <c r="BL196" i="31"/>
  <c r="BA194" i="29"/>
  <c r="AY194" i="29"/>
  <c r="AU195" i="29"/>
  <c r="AT195" i="29" s="1"/>
  <c r="BB194" i="29"/>
  <c r="AZ194" i="29"/>
  <c r="AW194" i="29"/>
  <c r="BN197" i="33" l="1"/>
  <c r="BL197" i="33"/>
  <c r="BH198" i="33"/>
  <c r="BO197" i="33"/>
  <c r="BM197" i="33"/>
  <c r="BJ197" i="33"/>
  <c r="BG197" i="33"/>
  <c r="BN197" i="32"/>
  <c r="BL197" i="32"/>
  <c r="BH198" i="32"/>
  <c r="BO197" i="32"/>
  <c r="BM197" i="32"/>
  <c r="BJ197" i="32"/>
  <c r="BG197" i="32"/>
  <c r="BN197" i="31"/>
  <c r="BL197" i="31"/>
  <c r="BH198" i="31"/>
  <c r="BO197" i="31"/>
  <c r="BM197" i="31"/>
  <c r="BJ197" i="31"/>
  <c r="BG197" i="31"/>
  <c r="AU196" i="29"/>
  <c r="AT196" i="29" s="1"/>
  <c r="BB195" i="29"/>
  <c r="AZ195" i="29"/>
  <c r="AW195" i="29"/>
  <c r="BA195" i="29"/>
  <c r="AY195" i="29"/>
  <c r="BH199" i="33" l="1"/>
  <c r="BO198" i="33"/>
  <c r="BM198" i="33"/>
  <c r="BJ198" i="33"/>
  <c r="BG198" i="33"/>
  <c r="BN198" i="33"/>
  <c r="BL198" i="33"/>
  <c r="BH199" i="32"/>
  <c r="BO198" i="32"/>
  <c r="BM198" i="32"/>
  <c r="BJ198" i="32"/>
  <c r="BG198" i="32"/>
  <c r="BN198" i="32"/>
  <c r="BL198" i="32"/>
  <c r="BH199" i="31"/>
  <c r="BO198" i="31"/>
  <c r="BM198" i="31"/>
  <c r="BJ198" i="31"/>
  <c r="BG198" i="31"/>
  <c r="BN198" i="31"/>
  <c r="BL198" i="31"/>
  <c r="BA196" i="29"/>
  <c r="AY196" i="29"/>
  <c r="AU197" i="29"/>
  <c r="AT197" i="29" s="1"/>
  <c r="BB196" i="29"/>
  <c r="AZ196" i="29"/>
  <c r="AW196" i="29"/>
  <c r="BN199" i="33" l="1"/>
  <c r="BL199" i="33"/>
  <c r="BH200" i="33"/>
  <c r="BO199" i="33"/>
  <c r="BM199" i="33"/>
  <c r="BJ199" i="33"/>
  <c r="BG199" i="33"/>
  <c r="BN199" i="32"/>
  <c r="BL199" i="32"/>
  <c r="BH200" i="32"/>
  <c r="BO199" i="32"/>
  <c r="BM199" i="32"/>
  <c r="BJ199" i="32"/>
  <c r="BG199" i="32"/>
  <c r="BN199" i="31"/>
  <c r="BL199" i="31"/>
  <c r="BH200" i="31"/>
  <c r="BO199" i="31"/>
  <c r="BM199" i="31"/>
  <c r="BJ199" i="31"/>
  <c r="BG199" i="31"/>
  <c r="AU198" i="29"/>
  <c r="AT198" i="29" s="1"/>
  <c r="BB197" i="29"/>
  <c r="AZ197" i="29"/>
  <c r="AW197" i="29"/>
  <c r="BA197" i="29"/>
  <c r="AY197" i="29"/>
  <c r="BH201" i="33" l="1"/>
  <c r="BO200" i="33"/>
  <c r="BM200" i="33"/>
  <c r="BJ200" i="33"/>
  <c r="BG200" i="33"/>
  <c r="BN200" i="33"/>
  <c r="BL200" i="33"/>
  <c r="BH201" i="32"/>
  <c r="BO200" i="32"/>
  <c r="BM200" i="32"/>
  <c r="BJ200" i="32"/>
  <c r="BG200" i="32"/>
  <c r="BN200" i="32"/>
  <c r="BL200" i="32"/>
  <c r="BH201" i="31"/>
  <c r="BO200" i="31"/>
  <c r="BM200" i="31"/>
  <c r="BJ200" i="31"/>
  <c r="BG200" i="31"/>
  <c r="BN200" i="31"/>
  <c r="BL200" i="31"/>
  <c r="BA198" i="29"/>
  <c r="AY198" i="29"/>
  <c r="AU199" i="29"/>
  <c r="AT199" i="29" s="1"/>
  <c r="BB198" i="29"/>
  <c r="AZ198" i="29"/>
  <c r="AW198" i="29"/>
  <c r="BN201" i="33" l="1"/>
  <c r="BL201" i="33"/>
  <c r="BH202" i="33"/>
  <c r="BO201" i="33"/>
  <c r="BM201" i="33"/>
  <c r="BJ201" i="33"/>
  <c r="BG201" i="33"/>
  <c r="BN201" i="32"/>
  <c r="BL201" i="32"/>
  <c r="BH202" i="32"/>
  <c r="BO201" i="32"/>
  <c r="BM201" i="32"/>
  <c r="BJ201" i="32"/>
  <c r="BG201" i="32"/>
  <c r="BN201" i="31"/>
  <c r="BL201" i="31"/>
  <c r="BH202" i="31"/>
  <c r="BO201" i="31"/>
  <c r="BM201" i="31"/>
  <c r="BJ201" i="31"/>
  <c r="BG201" i="31"/>
  <c r="AU200" i="29"/>
  <c r="AT200" i="29" s="1"/>
  <c r="BB199" i="29"/>
  <c r="AZ199" i="29"/>
  <c r="AW199" i="29"/>
  <c r="BA199" i="29"/>
  <c r="AY199" i="29"/>
  <c r="BH203" i="33" l="1"/>
  <c r="BO202" i="33"/>
  <c r="BM202" i="33"/>
  <c r="BJ202" i="33"/>
  <c r="BG202" i="33"/>
  <c r="BN202" i="33"/>
  <c r="BL202" i="33"/>
  <c r="BH203" i="32"/>
  <c r="BO202" i="32"/>
  <c r="BM202" i="32"/>
  <c r="BJ202" i="32"/>
  <c r="BG202" i="32"/>
  <c r="BN202" i="32"/>
  <c r="BL202" i="32"/>
  <c r="BH203" i="31"/>
  <c r="BO202" i="31"/>
  <c r="BM202" i="31"/>
  <c r="BJ202" i="31"/>
  <c r="BG202" i="31"/>
  <c r="BN202" i="31"/>
  <c r="BL202" i="31"/>
  <c r="BA200" i="29"/>
  <c r="AY200" i="29"/>
  <c r="AU201" i="29"/>
  <c r="AT201" i="29" s="1"/>
  <c r="BB200" i="29"/>
  <c r="AZ200" i="29"/>
  <c r="AW200" i="29"/>
  <c r="BN203" i="33" l="1"/>
  <c r="BL203" i="33"/>
  <c r="BH204" i="33"/>
  <c r="BO203" i="33"/>
  <c r="BM203" i="33"/>
  <c r="BJ203" i="33"/>
  <c r="BG203" i="33"/>
  <c r="BN203" i="32"/>
  <c r="BL203" i="32"/>
  <c r="BH204" i="32"/>
  <c r="BO203" i="32"/>
  <c r="BM203" i="32"/>
  <c r="BJ203" i="32"/>
  <c r="BG203" i="32"/>
  <c r="BN203" i="31"/>
  <c r="BL203" i="31"/>
  <c r="BH204" i="31"/>
  <c r="BO203" i="31"/>
  <c r="BM203" i="31"/>
  <c r="BJ203" i="31"/>
  <c r="BG203" i="31"/>
  <c r="AU202" i="29"/>
  <c r="AT202" i="29" s="1"/>
  <c r="BB201" i="29"/>
  <c r="AZ201" i="29"/>
  <c r="AW201" i="29"/>
  <c r="BA201" i="29"/>
  <c r="AY201" i="29"/>
  <c r="BH205" i="33" l="1"/>
  <c r="BO204" i="33"/>
  <c r="BM204" i="33"/>
  <c r="BJ204" i="33"/>
  <c r="BG204" i="33"/>
  <c r="BN204" i="33"/>
  <c r="BL204" i="33"/>
  <c r="BH205" i="32"/>
  <c r="BO204" i="32"/>
  <c r="BM204" i="32"/>
  <c r="BJ204" i="32"/>
  <c r="BG204" i="32"/>
  <c r="BN204" i="32"/>
  <c r="BL204" i="32"/>
  <c r="BH205" i="31"/>
  <c r="BO204" i="31"/>
  <c r="BM204" i="31"/>
  <c r="BJ204" i="31"/>
  <c r="BG204" i="31"/>
  <c r="BN204" i="31"/>
  <c r="BL204" i="31"/>
  <c r="BA202" i="29"/>
  <c r="AY202" i="29"/>
  <c r="AU203" i="29"/>
  <c r="AT203" i="29" s="1"/>
  <c r="BB202" i="29"/>
  <c r="AZ202" i="29"/>
  <c r="AW202" i="29"/>
  <c r="BN205" i="33" l="1"/>
  <c r="BL205" i="33"/>
  <c r="BH206" i="33"/>
  <c r="BO205" i="33"/>
  <c r="BM205" i="33"/>
  <c r="BJ205" i="33"/>
  <c r="BG205" i="33"/>
  <c r="BN205" i="32"/>
  <c r="BL205" i="32"/>
  <c r="BH206" i="32"/>
  <c r="BO205" i="32"/>
  <c r="BM205" i="32"/>
  <c r="BJ205" i="32"/>
  <c r="BG205" i="32"/>
  <c r="BN205" i="31"/>
  <c r="BL205" i="31"/>
  <c r="BH206" i="31"/>
  <c r="BO205" i="31"/>
  <c r="BM205" i="31"/>
  <c r="BJ205" i="31"/>
  <c r="BG205" i="31"/>
  <c r="AU204" i="29"/>
  <c r="AT204" i="29" s="1"/>
  <c r="BB203" i="29"/>
  <c r="AZ203" i="29"/>
  <c r="AW203" i="29"/>
  <c r="BA203" i="29"/>
  <c r="AY203" i="29"/>
  <c r="BH207" i="33" l="1"/>
  <c r="BO206" i="33"/>
  <c r="BM206" i="33"/>
  <c r="BJ206" i="33"/>
  <c r="BG206" i="33"/>
  <c r="BN206" i="33"/>
  <c r="BL206" i="33"/>
  <c r="BH207" i="32"/>
  <c r="BO206" i="32"/>
  <c r="BM206" i="32"/>
  <c r="BJ206" i="32"/>
  <c r="BG206" i="32"/>
  <c r="BN206" i="32"/>
  <c r="BL206" i="32"/>
  <c r="BO206" i="31"/>
  <c r="BM206" i="31"/>
  <c r="BJ206" i="31"/>
  <c r="BG206" i="31"/>
  <c r="BN206" i="31"/>
  <c r="BL206" i="31"/>
  <c r="BA204" i="29"/>
  <c r="AY204" i="29"/>
  <c r="AU205" i="29"/>
  <c r="AT205" i="29" s="1"/>
  <c r="BB204" i="29"/>
  <c r="AZ204" i="29"/>
  <c r="AW204" i="29"/>
  <c r="BN207" i="33" l="1"/>
  <c r="BL207" i="33"/>
  <c r="BH208" i="33"/>
  <c r="BO207" i="33"/>
  <c r="BM207" i="33"/>
  <c r="BJ207" i="33"/>
  <c r="BG207" i="33"/>
  <c r="BN207" i="32"/>
  <c r="BL207" i="32"/>
  <c r="BH208" i="32"/>
  <c r="BO207" i="32"/>
  <c r="BM207" i="32"/>
  <c r="BJ207" i="32"/>
  <c r="BG207" i="32"/>
  <c r="BB205" i="29"/>
  <c r="AZ205" i="29"/>
  <c r="AW205" i="29"/>
  <c r="BA205" i="29"/>
  <c r="AY205" i="29"/>
  <c r="BH209" i="33" l="1"/>
  <c r="BO208" i="33"/>
  <c r="BM208" i="33"/>
  <c r="BJ208" i="33"/>
  <c r="BG208" i="33"/>
  <c r="BN208" i="33"/>
  <c r="BL208" i="33"/>
  <c r="BH209" i="32"/>
  <c r="BO208" i="32"/>
  <c r="BM208" i="32"/>
  <c r="BJ208" i="32"/>
  <c r="BG208" i="32"/>
  <c r="BN208" i="32"/>
  <c r="BL208" i="32"/>
  <c r="BN209" i="33" l="1"/>
  <c r="BL209" i="33"/>
  <c r="BH210" i="33"/>
  <c r="BO209" i="33"/>
  <c r="BM209" i="33"/>
  <c r="BJ209" i="33"/>
  <c r="BG209" i="33"/>
  <c r="BN209" i="32"/>
  <c r="BL209" i="32"/>
  <c r="BH210" i="32"/>
  <c r="BO209" i="32"/>
  <c r="BM209" i="32"/>
  <c r="BJ209" i="32"/>
  <c r="BG209" i="32"/>
  <c r="BH211" i="33" l="1"/>
  <c r="BO210" i="33"/>
  <c r="BM210" i="33"/>
  <c r="BJ210" i="33"/>
  <c r="BG210" i="33"/>
  <c r="BN210" i="33"/>
  <c r="BL210" i="33"/>
  <c r="BH211" i="32"/>
  <c r="BO210" i="32"/>
  <c r="BM210" i="32"/>
  <c r="BJ210" i="32"/>
  <c r="BG210" i="32"/>
  <c r="BN210" i="32"/>
  <c r="BL210" i="32"/>
  <c r="BN211" i="33" l="1"/>
  <c r="BL211" i="33"/>
  <c r="BH212" i="33"/>
  <c r="BO211" i="33"/>
  <c r="BM211" i="33"/>
  <c r="BJ211" i="33"/>
  <c r="BG211" i="33"/>
  <c r="BN211" i="32"/>
  <c r="BL211" i="32"/>
  <c r="BH212" i="32"/>
  <c r="BO211" i="32"/>
  <c r="BM211" i="32"/>
  <c r="BJ211" i="32"/>
  <c r="BG211" i="32"/>
  <c r="BH213" i="33" l="1"/>
  <c r="BO212" i="33"/>
  <c r="BM212" i="33"/>
  <c r="BJ212" i="33"/>
  <c r="BG212" i="33"/>
  <c r="BN212" i="33"/>
  <c r="BL212" i="33"/>
  <c r="BH213" i="32"/>
  <c r="BO212" i="32"/>
  <c r="BM212" i="32"/>
  <c r="BJ212" i="32"/>
  <c r="BG212" i="32"/>
  <c r="BN212" i="32"/>
  <c r="BL212" i="32"/>
  <c r="BN213" i="33" l="1"/>
  <c r="BL213" i="33"/>
  <c r="BH214" i="33"/>
  <c r="BO213" i="33"/>
  <c r="BM213" i="33"/>
  <c r="BJ213" i="33"/>
  <c r="BG213" i="33"/>
  <c r="BN213" i="32"/>
  <c r="BL213" i="32"/>
  <c r="BH214" i="32"/>
  <c r="BO213" i="32"/>
  <c r="BM213" i="32"/>
  <c r="BJ213" i="32"/>
  <c r="BG213" i="32"/>
  <c r="BH215" i="33" l="1"/>
  <c r="BO214" i="33"/>
  <c r="BM214" i="33"/>
  <c r="BJ214" i="33"/>
  <c r="BG214" i="33"/>
  <c r="BN214" i="33"/>
  <c r="BL214" i="33"/>
  <c r="BH215" i="32"/>
  <c r="BO214" i="32"/>
  <c r="BM214" i="32"/>
  <c r="BJ214" i="32"/>
  <c r="BG214" i="32"/>
  <c r="BN214" i="32"/>
  <c r="BL214" i="32"/>
  <c r="BN215" i="33" l="1"/>
  <c r="BL215" i="33"/>
  <c r="BH216" i="33"/>
  <c r="BO215" i="33"/>
  <c r="BM215" i="33"/>
  <c r="BJ215" i="33"/>
  <c r="BG215" i="33"/>
  <c r="BN215" i="32"/>
  <c r="BL215" i="32"/>
  <c r="BH216" i="32"/>
  <c r="BO215" i="32"/>
  <c r="BM215" i="32"/>
  <c r="BJ215" i="32"/>
  <c r="BG215" i="32"/>
  <c r="BH217" i="33" l="1"/>
  <c r="BO216" i="33"/>
  <c r="BM216" i="33"/>
  <c r="BJ216" i="33"/>
  <c r="BG216" i="33"/>
  <c r="BN216" i="33"/>
  <c r="BL216" i="33"/>
  <c r="BH217" i="32"/>
  <c r="BO216" i="32"/>
  <c r="BM216" i="32"/>
  <c r="BJ216" i="32"/>
  <c r="BG216" i="32"/>
  <c r="BN216" i="32"/>
  <c r="BL216" i="32"/>
  <c r="BN217" i="33" l="1"/>
  <c r="BL217" i="33"/>
  <c r="BH218" i="33"/>
  <c r="BO217" i="33"/>
  <c r="BM217" i="33"/>
  <c r="BJ217" i="33"/>
  <c r="BG217" i="33"/>
  <c r="BN217" i="32"/>
  <c r="BL217" i="32"/>
  <c r="BH218" i="32"/>
  <c r="BO217" i="32"/>
  <c r="BM217" i="32"/>
  <c r="BJ217" i="32"/>
  <c r="BG217" i="32"/>
  <c r="BO218" i="33" l="1"/>
  <c r="BM218" i="33"/>
  <c r="BJ218" i="33"/>
  <c r="BG218" i="33"/>
  <c r="BN218" i="33"/>
  <c r="BL218" i="33"/>
  <c r="BO218" i="32"/>
  <c r="BM218" i="32"/>
  <c r="BJ218" i="32"/>
  <c r="BG218" i="32"/>
  <c r="BN218" i="32"/>
  <c r="BL218" i="32"/>
</calcChain>
</file>

<file path=xl/comments1.xml><?xml version="1.0" encoding="utf-8"?>
<comments xmlns="http://schemas.openxmlformats.org/spreadsheetml/2006/main">
  <authors>
    <author>William Edwards</author>
    <author>Ann Johanns</author>
    <author>Raymond E. Massey</author>
  </authors>
  <commentList>
    <comment ref="C19" authorId="0" shapeId="0">
      <text>
        <r>
          <rPr>
            <sz val="8"/>
            <color indexed="81"/>
            <rFont val="Tahoma"/>
            <family val="2"/>
          </rPr>
          <t>Group insurance policies such as 
GRP and GRIP do not carry replant 
or prevented planting payment provisions.</t>
        </r>
      </text>
    </comment>
    <comment ref="F38" authorId="1" shapeId="0">
      <text>
        <r>
          <rPr>
            <sz val="8"/>
            <color indexed="81"/>
            <rFont val="Tahoma"/>
            <family val="2"/>
          </rPr>
          <t>Enter cost for drying and handling late planted corn. 
May be more than for corn planted early.</t>
        </r>
      </text>
    </comment>
    <comment ref="N46" authorId="0" shapeId="0">
      <text>
        <r>
          <rPr>
            <sz val="8"/>
            <color indexed="81"/>
            <rFont val="Tahoma"/>
            <family val="2"/>
          </rPr>
          <t xml:space="preserve">If there is no indemnity on the soybean crop, the indemnity from the failed corn crop is paid at 100%. If there is an Indemnity payment on the soybean crop, 35% of the indemnity is paid + the greater of soybean indemnity or the remaining 65% of the corn indemnity. </t>
        </r>
      </text>
    </comment>
    <comment ref="N47" authorId="0" shapeId="0">
      <text>
        <r>
          <rPr>
            <sz val="8"/>
            <color indexed="81"/>
            <rFont val="Tahoma"/>
            <family val="2"/>
          </rPr>
          <t>An indemnity payment may be received on 
soybeans if they are insured and it is larger 
than 65% of the corn indemnity payment 
that could be received.</t>
        </r>
      </text>
    </comment>
    <comment ref="AN111" authorId="2" shapeId="0">
      <text>
        <r>
          <rPr>
            <b/>
            <sz val="9"/>
            <color indexed="81"/>
            <rFont val="Tahoma"/>
            <family val="2"/>
          </rPr>
          <t>Raymond E. Massey:</t>
        </r>
        <r>
          <rPr>
            <sz val="9"/>
            <color indexed="81"/>
            <rFont val="Tahoma"/>
            <family val="2"/>
          </rPr>
          <t xml:space="preserve">
These coefficients were estimated from data provided by Bill Wiebold in 2011.  The original data and graphs can be found in Replant Decisions.xlsx.</t>
        </r>
      </text>
    </comment>
  </commentList>
</comments>
</file>

<file path=xl/comments2.xml><?xml version="1.0" encoding="utf-8"?>
<comments xmlns="http://schemas.openxmlformats.org/spreadsheetml/2006/main">
  <authors>
    <author>William Edwards</author>
    <author>Ann Johanns</author>
    <author xml:space="preserve"> Raymond E. Massey</author>
    <author>Raymond E. Massey</author>
  </authors>
  <commentList>
    <comment ref="C19" authorId="0" shapeId="0">
      <text>
        <r>
          <rPr>
            <sz val="8"/>
            <color indexed="81"/>
            <rFont val="Tahoma"/>
            <family val="2"/>
          </rPr>
          <t>Group insurance policies such as 
GRP and GRIP do not carry replant 
or prevented planting payment provisions.</t>
        </r>
      </text>
    </comment>
    <comment ref="F39" authorId="1" shapeId="0">
      <text>
        <r>
          <rPr>
            <sz val="8"/>
            <color indexed="81"/>
            <rFont val="Tahoma"/>
            <family val="2"/>
          </rPr>
          <t>Enter cost for drying and handling late planted corn. 
May be more than for corn planted early.</t>
        </r>
      </text>
    </comment>
    <comment ref="N47" authorId="0" shapeId="0">
      <text>
        <r>
          <rPr>
            <sz val="8"/>
            <color indexed="81"/>
            <rFont val="Tahoma"/>
            <family val="2"/>
          </rPr>
          <t xml:space="preserve">Indemnity payment is equal to 35% of the 
corn payment if corn were harvested as is, 
ved, only 
</t>
        </r>
      </text>
    </comment>
    <comment ref="P47" authorId="0" shapeId="0">
      <text>
        <r>
          <rPr>
            <sz val="8"/>
            <color indexed="81"/>
            <rFont val="Tahoma"/>
            <family val="2"/>
          </rPr>
          <t>After the final planting date a cover crop 
only can be planted and an indemnity payment 
equal to 60% of the original guarantee is paid.
I have notes that you can buy prevented planting coverage to 65 and 60%.  Can you?  What is the cost?</t>
        </r>
      </text>
    </comment>
    <comment ref="R47" authorId="0" shapeId="0">
      <text>
        <r>
          <rPr>
            <sz val="8"/>
            <color indexed="81"/>
            <rFont val="Tahoma"/>
            <family val="2"/>
          </rPr>
          <t xml:space="preserve">YP based on yield loss. RP and RP-HPE 
actual revenue based on actual yield and 
October futures price.  RP guarantee uses 
the higher of the original projected price or 
the October futures price.
</t>
        </r>
      </text>
    </comment>
    <comment ref="T47" authorId="0" shapeId="0">
      <text>
        <r>
          <rPr>
            <sz val="8"/>
            <color indexed="81"/>
            <rFont val="Tahoma"/>
            <family val="2"/>
          </rPr>
          <t>Prevented planting provisions state that if a second crop is produced, 35% of the first crop's prevented planting payment is paid.  If the second crop is insured, 35% of the prevented crop's premium is refunded.</t>
        </r>
      </text>
    </comment>
    <comment ref="N48" authorId="0" shapeId="0">
      <text>
        <r>
          <rPr>
            <sz val="8"/>
            <color indexed="81"/>
            <rFont val="Tahoma"/>
            <family val="2"/>
          </rPr>
          <t>An indemnity payment may be received on 
soybeans if they are insured and it is larger 
than 65% of the corn indemnity payment 
that could be received.</t>
        </r>
      </text>
    </comment>
    <comment ref="T48" authorId="0" shapeId="0">
      <text>
        <r>
          <rPr>
            <sz val="8"/>
            <color indexed="81"/>
            <rFont val="Tahoma"/>
            <family val="2"/>
          </rPr>
          <t>An indemnity payment may be received on 
soybeans if they are insured and it is larger 
than 65% of the corn indemnity payment 
that could be received.</t>
        </r>
      </text>
    </comment>
    <comment ref="V48" authorId="0" shapeId="0">
      <text>
        <r>
          <rPr>
            <sz val="8"/>
            <color indexed="81"/>
            <rFont val="Tahoma"/>
            <family val="2"/>
          </rPr>
          <t>YP based on yield loss. RP and RP-HPE 
actual revenue based on actual yield and 
October futures price.  RP guarantee uses 
the higher of the original projected price or 
the October futures price.</t>
        </r>
      </text>
    </comment>
    <comment ref="Z48" authorId="0" shapeId="0">
      <text>
        <r>
          <rPr>
            <sz val="8"/>
            <color indexed="81"/>
            <rFont val="Tahoma"/>
            <family val="2"/>
          </rPr>
          <t>After the final planting date a cover crop 
only can be planted and an indemnity 
payment equal to 60% of the original 
guarantee is paid.</t>
        </r>
      </text>
    </comment>
    <comment ref="X49" authorId="0" shapeId="0">
      <text>
        <r>
          <rPr>
            <sz val="8"/>
            <color indexed="81"/>
            <rFont val="Tahoma"/>
            <family val="2"/>
          </rPr>
          <t>If the yield is projected to be less than 90% of the 
APH yield, a replant payment equal to the smaller 
of actual replanting costs or 8 bushels of corn
 x the corresponding indemnity price.</t>
        </r>
      </text>
    </comment>
    <comment ref="C88" authorId="0" shapeId="0">
      <text>
        <r>
          <rPr>
            <sz val="8"/>
            <color indexed="81"/>
            <rFont val="Tahoma"/>
            <family val="2"/>
          </rPr>
          <t>This affects the estimated soybean yield.</t>
        </r>
      </text>
    </comment>
    <comment ref="T105" authorId="2" shapeId="0">
      <text>
        <r>
          <rPr>
            <b/>
            <sz val="9"/>
            <color indexed="81"/>
            <rFont val="Tahoma"/>
            <family val="2"/>
          </rPr>
          <t xml:space="preserve"> Raymond E. Massey:</t>
        </r>
        <r>
          <rPr>
            <sz val="9"/>
            <color indexed="81"/>
            <rFont val="Tahoma"/>
            <family val="2"/>
          </rPr>
          <t xml:space="preserve">
references F14 when all other cells reference column E or X.  I think this whole column is erroneous.
</t>
        </r>
      </text>
    </comment>
    <comment ref="AN111" authorId="3" shapeId="0">
      <text>
        <r>
          <rPr>
            <b/>
            <sz val="9"/>
            <color indexed="81"/>
            <rFont val="Tahoma"/>
            <family val="2"/>
          </rPr>
          <t>Raymond E. Massey:</t>
        </r>
        <r>
          <rPr>
            <sz val="9"/>
            <color indexed="81"/>
            <rFont val="Tahoma"/>
            <family val="2"/>
          </rPr>
          <t xml:space="preserve">
These coefficients were estimated from data provided by Bill Wiebold in 2011.  The original data and graphs can be found in Replant Decisions.xlsx.</t>
        </r>
      </text>
    </comment>
  </commentList>
</comments>
</file>

<file path=xl/comments3.xml><?xml version="1.0" encoding="utf-8"?>
<comments xmlns="http://schemas.openxmlformats.org/spreadsheetml/2006/main">
  <authors>
    <author>William Edwards</author>
    <author>Ann Johanns</author>
    <author xml:space="preserve"> Raymond E. Massey</author>
    <author>Raymond E. Massey</author>
  </authors>
  <commentList>
    <comment ref="C19" authorId="0" shapeId="0">
      <text>
        <r>
          <rPr>
            <sz val="8"/>
            <color indexed="81"/>
            <rFont val="Tahoma"/>
            <family val="2"/>
          </rPr>
          <t>Group insurance policies such as 
GRP and GRIP do not carry replant 
or prevented planting payment provisions.</t>
        </r>
      </text>
    </comment>
    <comment ref="F38" authorId="1" shapeId="0">
      <text>
        <r>
          <rPr>
            <sz val="8"/>
            <color indexed="81"/>
            <rFont val="Tahoma"/>
            <family val="2"/>
          </rPr>
          <t>Enter cost for drying and handling late planted corn. 
May be more than for corn planted early.</t>
        </r>
      </text>
    </comment>
    <comment ref="N46" authorId="0" shapeId="0">
      <text>
        <r>
          <rPr>
            <sz val="8"/>
            <color indexed="81"/>
            <rFont val="Tahoma"/>
            <family val="2"/>
          </rPr>
          <t xml:space="preserve">Indemnity payment is equal to 35% of the 
corn payment if corn were harvested as is, 
ved, only 
</t>
        </r>
      </text>
    </comment>
    <comment ref="P46" authorId="0" shapeId="0">
      <text>
        <r>
          <rPr>
            <sz val="8"/>
            <color indexed="81"/>
            <rFont val="Tahoma"/>
            <family val="2"/>
          </rPr>
          <t>After the final planting date a cover crop 
only can be planted and an indemnity payment 
equal to 60% of the original guarantee is paid.
I have notes that you can buy prevented planting coverage to 65 and 60%.  Can you?  What is the cost?</t>
        </r>
      </text>
    </comment>
    <comment ref="R46" authorId="0" shapeId="0">
      <text>
        <r>
          <rPr>
            <sz val="8"/>
            <color indexed="81"/>
            <rFont val="Tahoma"/>
            <family val="2"/>
          </rPr>
          <t>YP based on yield loss. RP and RP-HPE 
actual revenue based on actual yield and 
October futures price.  RP guarantee uses 
the higher of the original projected price or 
the October futures price.
Why is there a 6th choice in this equation?</t>
        </r>
      </text>
    </comment>
    <comment ref="T46" authorId="0" shapeId="0">
      <text>
        <r>
          <rPr>
            <sz val="8"/>
            <color indexed="81"/>
            <rFont val="Tahoma"/>
            <family val="2"/>
          </rPr>
          <t>Prevented planting provisions state that if a second crop is produced, 35% of the first crop's prevented planting payment is paid.  If the second crop is insured, 35% of the prevented crop's premium is refunded.</t>
        </r>
      </text>
    </comment>
    <comment ref="N47" authorId="0" shapeId="0">
      <text>
        <r>
          <rPr>
            <sz val="8"/>
            <color indexed="81"/>
            <rFont val="Tahoma"/>
            <family val="2"/>
          </rPr>
          <t>An indemnity payment may be received on 
soybeans if they are insured and it is larger 
than 65% of the corn indemnity payment 
that could be received.</t>
        </r>
      </text>
    </comment>
    <comment ref="T47" authorId="0" shapeId="0">
      <text>
        <r>
          <rPr>
            <sz val="8"/>
            <color indexed="81"/>
            <rFont val="Tahoma"/>
            <family val="2"/>
          </rPr>
          <t>An indemnity payment may be received on 
soybeans if they are insured and it is larger 
than 65% of the corn indemnity payment 
that could be received.</t>
        </r>
      </text>
    </comment>
    <comment ref="V47" authorId="0" shapeId="0">
      <text>
        <r>
          <rPr>
            <sz val="8"/>
            <color indexed="81"/>
            <rFont val="Tahoma"/>
            <family val="2"/>
          </rPr>
          <t>YP based on yield loss. RP and RP-HPE 
actual revenue based on actual yield and 
October futures price.  RP guarantee uses 
the higher of the original projected price or 
the October futures price.</t>
        </r>
      </text>
    </comment>
    <comment ref="Z47" authorId="0" shapeId="0">
      <text>
        <r>
          <rPr>
            <sz val="8"/>
            <color indexed="81"/>
            <rFont val="Tahoma"/>
            <family val="2"/>
          </rPr>
          <t>After the final planting date a cover crop 
only can be planted and an indemnity 
payment equal to 60% of the original 
guarantee is paid.</t>
        </r>
      </text>
    </comment>
    <comment ref="X48" authorId="0" shapeId="0">
      <text>
        <r>
          <rPr>
            <sz val="8"/>
            <color indexed="81"/>
            <rFont val="Tahoma"/>
            <family val="2"/>
          </rPr>
          <t>If the yield is projected to be less than 90% of the 
APH yield, a replant payment equal to the smaller 
of actual replanting costs or 3 bushels of soybeans
 x the corresponding indemnity price.</t>
        </r>
      </text>
    </comment>
    <comment ref="T104" authorId="2" shapeId="0">
      <text>
        <r>
          <rPr>
            <b/>
            <sz val="9"/>
            <color indexed="81"/>
            <rFont val="Tahoma"/>
            <family val="2"/>
          </rPr>
          <t xml:space="preserve"> Raymond E. Massey:</t>
        </r>
        <r>
          <rPr>
            <sz val="9"/>
            <color indexed="81"/>
            <rFont val="Tahoma"/>
            <family val="2"/>
          </rPr>
          <t xml:space="preserve">
references F14 when all other cells reference column E or X.  I think this whole column is erroneous.
</t>
        </r>
      </text>
    </comment>
    <comment ref="BA112" authorId="3" shapeId="0">
      <text>
        <r>
          <rPr>
            <b/>
            <sz val="9"/>
            <color indexed="81"/>
            <rFont val="Tahoma"/>
            <family val="2"/>
          </rPr>
          <t>Raymond E. Massey:</t>
        </r>
        <r>
          <rPr>
            <sz val="9"/>
            <color indexed="81"/>
            <rFont val="Tahoma"/>
            <family val="2"/>
          </rPr>
          <t xml:space="preserve">
These coefficients were estimated from data provided by Bill Wiebold in 2011.  The original data and graphs can be found in Replant Decisions.xlsx.</t>
        </r>
      </text>
    </comment>
  </commentList>
</comments>
</file>

<file path=xl/comments4.xml><?xml version="1.0" encoding="utf-8"?>
<comments xmlns="http://schemas.openxmlformats.org/spreadsheetml/2006/main">
  <authors>
    <author>William Edwards</author>
    <author>Ann Johanns</author>
    <author xml:space="preserve"> Raymond E. Massey</author>
    <author>Raymond E. Massey</author>
  </authors>
  <commentList>
    <comment ref="C19" authorId="0" shapeId="0">
      <text>
        <r>
          <rPr>
            <sz val="8"/>
            <color indexed="81"/>
            <rFont val="Tahoma"/>
            <family val="2"/>
          </rPr>
          <t>Group insurance policies such as 
GRP and GRIP do not carry replant 
or prevented planting payment provisions.</t>
        </r>
      </text>
    </comment>
    <comment ref="F38" authorId="1" shapeId="0">
      <text>
        <r>
          <rPr>
            <sz val="8"/>
            <color indexed="81"/>
            <rFont val="Tahoma"/>
            <family val="2"/>
          </rPr>
          <t>Enter cost for drying and handling late planted corn. 
May be more than for corn planted early.</t>
        </r>
      </text>
    </comment>
    <comment ref="N46" authorId="0" shapeId="0">
      <text>
        <r>
          <rPr>
            <sz val="8"/>
            <color indexed="81"/>
            <rFont val="Tahoma"/>
            <family val="2"/>
          </rPr>
          <t xml:space="preserve">Indemnity payment is equal to 35% of the 
corn payment if corn were harvested as is, 
ved, only 
</t>
        </r>
      </text>
    </comment>
    <comment ref="P46" authorId="0" shapeId="0">
      <text>
        <r>
          <rPr>
            <sz val="8"/>
            <color indexed="81"/>
            <rFont val="Tahoma"/>
            <family val="2"/>
          </rPr>
          <t>After the final planting date a cover crop 
only can be planted and an indemnity payment 
equal to 60% of the original guarantee is paid.
I have notes that you can buy prevented planting coverage to 65 and 60%.  Can you?  What is the cost?</t>
        </r>
      </text>
    </comment>
    <comment ref="R46" authorId="0" shapeId="0">
      <text>
        <r>
          <rPr>
            <sz val="8"/>
            <color indexed="81"/>
            <rFont val="Tahoma"/>
            <family val="2"/>
          </rPr>
          <t>YP based on yield loss. RP and RP-HPE 
actual revenue based on actual yield and 
October futures price.  RP guarantee uses 
the higher of the original projected price or 
the October futures price.
Why is there a 6th choice in this equation?</t>
        </r>
      </text>
    </comment>
    <comment ref="T46" authorId="0" shapeId="0">
      <text>
        <r>
          <rPr>
            <sz val="8"/>
            <color indexed="81"/>
            <rFont val="Tahoma"/>
            <family val="2"/>
          </rPr>
          <t>Prevented planting provisions state that if a second crop is produced, 35% of the first crop's prevented planting payment is paid.  If the second crop is insured, 35% of the prevented crop's premium is refunded.</t>
        </r>
      </text>
    </comment>
    <comment ref="N47" authorId="0" shapeId="0">
      <text>
        <r>
          <rPr>
            <sz val="8"/>
            <color indexed="81"/>
            <rFont val="Tahoma"/>
            <family val="2"/>
          </rPr>
          <t>An indemnity payment may be received on 
soybeans if they are insured and it is larger 
than 65% of the corn indemnity payment 
that could be received.</t>
        </r>
      </text>
    </comment>
    <comment ref="T47" authorId="0" shapeId="0">
      <text>
        <r>
          <rPr>
            <sz val="8"/>
            <color indexed="81"/>
            <rFont val="Tahoma"/>
            <family val="2"/>
          </rPr>
          <t>An indemnity payment may be received on 
soybeans if they are insured and it is larger 
than 65% of the corn indemnity payment 
that could be received.</t>
        </r>
      </text>
    </comment>
    <comment ref="V47" authorId="0" shapeId="0">
      <text>
        <r>
          <rPr>
            <sz val="8"/>
            <color indexed="81"/>
            <rFont val="Tahoma"/>
            <family val="2"/>
          </rPr>
          <t>YP based on yield loss. RP and RP-HPE 
actual revenue based on actual yield and 
October futures price.  RP guarantee uses 
the higher of the original projected price or 
the October futures price.</t>
        </r>
      </text>
    </comment>
    <comment ref="Z47" authorId="0" shapeId="0">
      <text>
        <r>
          <rPr>
            <sz val="8"/>
            <color indexed="81"/>
            <rFont val="Tahoma"/>
            <family val="2"/>
          </rPr>
          <t>After the final planting date a cover crop 
only can be planted and an indemnity 
payment equal to 60% of the original 
guarantee is paid.</t>
        </r>
      </text>
    </comment>
    <comment ref="X48" authorId="0" shapeId="0">
      <text>
        <r>
          <rPr>
            <sz val="8"/>
            <color indexed="81"/>
            <rFont val="Tahoma"/>
            <family val="2"/>
          </rPr>
          <t>If the yield is projected to be less than 90% of the 
APH yield, a replant payment equal to the smaller 
of actual replanting costs or 8 bushels of corn
 x the corresponding indemnity price.</t>
        </r>
      </text>
    </comment>
    <comment ref="AH83" authorId="2" shapeId="0">
      <text>
        <r>
          <rPr>
            <b/>
            <sz val="9"/>
            <color indexed="81"/>
            <rFont val="Tahoma"/>
            <family val="2"/>
          </rPr>
          <t xml:space="preserve"> Raymond E. Massey:</t>
        </r>
        <r>
          <rPr>
            <sz val="9"/>
            <color indexed="81"/>
            <rFont val="Tahoma"/>
            <family val="2"/>
          </rPr>
          <t xml:space="preserve">
Numbers in red or not from research reports.  They need to be confirmed.</t>
        </r>
      </text>
    </comment>
    <comment ref="AP83" authorId="2" shapeId="0">
      <text>
        <r>
          <rPr>
            <b/>
            <sz val="9"/>
            <color indexed="81"/>
            <rFont val="Tahoma"/>
            <family val="2"/>
          </rPr>
          <t xml:space="preserve"> Raymond E. Massey:</t>
        </r>
        <r>
          <rPr>
            <sz val="9"/>
            <color indexed="81"/>
            <rFont val="Tahoma"/>
            <family val="2"/>
          </rPr>
          <t xml:space="preserve">
Numbers in red are not from research reports.  Need to be confirmed.</t>
        </r>
      </text>
    </comment>
    <comment ref="C87" authorId="0" shapeId="0">
      <text>
        <r>
          <rPr>
            <sz val="8"/>
            <color indexed="81"/>
            <rFont val="Tahoma"/>
            <family val="2"/>
          </rPr>
          <t>This affects the estimated soybean yield.</t>
        </r>
      </text>
    </comment>
    <comment ref="T104" authorId="2" shapeId="0">
      <text>
        <r>
          <rPr>
            <b/>
            <sz val="9"/>
            <color indexed="81"/>
            <rFont val="Tahoma"/>
            <family val="2"/>
          </rPr>
          <t xml:space="preserve"> Raymond E. Massey:</t>
        </r>
        <r>
          <rPr>
            <sz val="9"/>
            <color indexed="81"/>
            <rFont val="Tahoma"/>
            <family val="2"/>
          </rPr>
          <t xml:space="preserve">
references F14 when all other cells reference column E or X.  I think this whole column is erroneous.
</t>
        </r>
      </text>
    </comment>
    <comment ref="BA111" authorId="3" shapeId="0">
      <text>
        <r>
          <rPr>
            <b/>
            <sz val="9"/>
            <color indexed="81"/>
            <rFont val="Tahoma"/>
            <family val="2"/>
          </rPr>
          <t>Raymond E. Massey:</t>
        </r>
        <r>
          <rPr>
            <sz val="9"/>
            <color indexed="81"/>
            <rFont val="Tahoma"/>
            <family val="2"/>
          </rPr>
          <t xml:space="preserve">
These coefficients were estimated from data provided by Bill Wiebold in 2011.  The original data and graphs can be found in Replant Decisions.xlsx.</t>
        </r>
      </text>
    </comment>
  </commentList>
</comments>
</file>

<file path=xl/sharedStrings.xml><?xml version="1.0" encoding="utf-8"?>
<sst xmlns="http://schemas.openxmlformats.org/spreadsheetml/2006/main" count="782" uniqueCount="261">
  <si>
    <t>Corn</t>
  </si>
  <si>
    <t>Soybeans</t>
  </si>
  <si>
    <t>Fertilizer</t>
  </si>
  <si>
    <t>Fuel and oil, repairs</t>
  </si>
  <si>
    <t>Labor</t>
  </si>
  <si>
    <t>Corn Already Planted</t>
  </si>
  <si>
    <t>Expected soybean insurance payment</t>
  </si>
  <si>
    <t>Expected corn insurance payment</t>
  </si>
  <si>
    <t>Expected replant insurance payment</t>
  </si>
  <si>
    <t>Plant Late</t>
  </si>
  <si>
    <t>Soybeans Already Planted</t>
  </si>
  <si>
    <t>Soybeans Not Planted</t>
  </si>
  <si>
    <t>Corn Not Planted</t>
  </si>
  <si>
    <t>RMA Final Planting Date</t>
  </si>
  <si>
    <t>Guarantee, % elected</t>
  </si>
  <si>
    <t>Guarantee adjusted for late planting date</t>
  </si>
  <si>
    <t>Custom hire charges</t>
  </si>
  <si>
    <t>Crop insurance premium (if second crop soybeans are insured)</t>
  </si>
  <si>
    <t>Insurance premium, $ per acre</t>
  </si>
  <si>
    <t>Crop insurance</t>
  </si>
  <si>
    <t>Expected revenue from cash sales</t>
  </si>
  <si>
    <t>Total added costs per acre</t>
  </si>
  <si>
    <t>Total expected revenue per acre</t>
  </si>
  <si>
    <t>Preharvest costs</t>
  </si>
  <si>
    <t>Harvest costs</t>
  </si>
  <si>
    <t>Types of Crop Insurance</t>
  </si>
  <si>
    <t>Planting Date</t>
  </si>
  <si>
    <t>Replant Corn</t>
  </si>
  <si>
    <t>Expected return minus added costs per acre</t>
  </si>
  <si>
    <t>Added costs of production, $ per acre</t>
  </si>
  <si>
    <r>
      <t xml:space="preserve">Switch to </t>
    </r>
    <r>
      <rPr>
        <u/>
        <sz val="10"/>
        <rFont val="Arial"/>
        <family val="2"/>
      </rPr>
      <t>Soybeans</t>
    </r>
  </si>
  <si>
    <r>
      <t xml:space="preserve">Replant </t>
    </r>
    <r>
      <rPr>
        <u/>
        <sz val="10"/>
        <rFont val="Arial"/>
        <family val="2"/>
      </rPr>
      <t>Soybeans</t>
    </r>
  </si>
  <si>
    <r>
      <t xml:space="preserve">Prevented </t>
    </r>
    <r>
      <rPr>
        <u/>
        <sz val="10"/>
        <rFont val="Arial"/>
        <family val="2"/>
      </rPr>
      <t>Planting</t>
    </r>
  </si>
  <si>
    <r>
      <t>Switch to</t>
    </r>
    <r>
      <rPr>
        <u/>
        <sz val="10"/>
        <rFont val="Arial"/>
        <family val="2"/>
      </rPr>
      <t xml:space="preserve"> Soybeans</t>
    </r>
  </si>
  <si>
    <t>Indemnity Prices</t>
  </si>
  <si>
    <t>Late Corn</t>
  </si>
  <si>
    <t>Early Corn</t>
  </si>
  <si>
    <t>Yield Protection</t>
  </si>
  <si>
    <t>Central and North MO</t>
  </si>
  <si>
    <t>Southeast and Southwest MO</t>
  </si>
  <si>
    <t>SE and SW MO</t>
  </si>
  <si>
    <t>County</t>
  </si>
  <si>
    <t>ADAIR</t>
  </si>
  <si>
    <t>ANDREW</t>
  </si>
  <si>
    <t>ATCHISON</t>
  </si>
  <si>
    <t>AUDRAIN</t>
  </si>
  <si>
    <t>BARRY</t>
  </si>
  <si>
    <t>BARTON</t>
  </si>
  <si>
    <t>BATES</t>
  </si>
  <si>
    <t>BENTON</t>
  </si>
  <si>
    <t>BOLLINGER</t>
  </si>
  <si>
    <t>BOONE</t>
  </si>
  <si>
    <t>BUCHANAN</t>
  </si>
  <si>
    <t>BUTLER</t>
  </si>
  <si>
    <t>CALDWELL</t>
  </si>
  <si>
    <t>CALLAWAY</t>
  </si>
  <si>
    <t>CAMDEN</t>
  </si>
  <si>
    <t>CAPE GIRARDEAU</t>
  </si>
  <si>
    <t>CARROLL</t>
  </si>
  <si>
    <t>CARTER</t>
  </si>
  <si>
    <t>CASS</t>
  </si>
  <si>
    <t>CEDAR</t>
  </si>
  <si>
    <t>CHARITON</t>
  </si>
  <si>
    <t>CHRISTIAN</t>
  </si>
  <si>
    <t>CLARK</t>
  </si>
  <si>
    <t>CLAY</t>
  </si>
  <si>
    <t>CLINTON</t>
  </si>
  <si>
    <t>COLE</t>
  </si>
  <si>
    <t>COOPER</t>
  </si>
  <si>
    <t>CRAWFORD</t>
  </si>
  <si>
    <t>DADE</t>
  </si>
  <si>
    <t>DALLAS</t>
  </si>
  <si>
    <t>DAVIESS</t>
  </si>
  <si>
    <t>DEKALB</t>
  </si>
  <si>
    <t>DENT</t>
  </si>
  <si>
    <t>DOUGLAS</t>
  </si>
  <si>
    <t>DUNKLIN</t>
  </si>
  <si>
    <t>FRANKLIN</t>
  </si>
  <si>
    <t>GASCONADE</t>
  </si>
  <si>
    <t>GENTRY</t>
  </si>
  <si>
    <t>GREENE</t>
  </si>
  <si>
    <t>GRUNDY</t>
  </si>
  <si>
    <t>HARRISON</t>
  </si>
  <si>
    <t>HENRY</t>
  </si>
  <si>
    <t>HICKORY</t>
  </si>
  <si>
    <t>HOLT</t>
  </si>
  <si>
    <t>HOWARD</t>
  </si>
  <si>
    <t>HOWELL</t>
  </si>
  <si>
    <t>IRON</t>
  </si>
  <si>
    <t>JACKSON</t>
  </si>
  <si>
    <t>JASPER</t>
  </si>
  <si>
    <t>JEFFERSON</t>
  </si>
  <si>
    <t>JOHNSON</t>
  </si>
  <si>
    <t>KNOX</t>
  </si>
  <si>
    <t>LACLEDE</t>
  </si>
  <si>
    <t>LAFAYETTE</t>
  </si>
  <si>
    <t>LAWRENCE</t>
  </si>
  <si>
    <t>LEWIS</t>
  </si>
  <si>
    <t>LINCOLN</t>
  </si>
  <si>
    <t>LINN</t>
  </si>
  <si>
    <t>LIVINGSTON</t>
  </si>
  <si>
    <t>MACON</t>
  </si>
  <si>
    <t>MADISON</t>
  </si>
  <si>
    <t>MARIES</t>
  </si>
  <si>
    <t>MARION</t>
  </si>
  <si>
    <t>MCDONALD</t>
  </si>
  <si>
    <t>MERCER</t>
  </si>
  <si>
    <t>MILLER</t>
  </si>
  <si>
    <t>MISSISSIPPI</t>
  </si>
  <si>
    <t>MONITEAU</t>
  </si>
  <si>
    <t>MONROE</t>
  </si>
  <si>
    <t>MONTGOMERY</t>
  </si>
  <si>
    <t>MORGAN</t>
  </si>
  <si>
    <t>NEW MADRID</t>
  </si>
  <si>
    <t>NEWTON</t>
  </si>
  <si>
    <t>NODAWAY</t>
  </si>
  <si>
    <t>OREGON</t>
  </si>
  <si>
    <t>OSAGE</t>
  </si>
  <si>
    <t>OZARK</t>
  </si>
  <si>
    <t>PEMISCOT</t>
  </si>
  <si>
    <t>PERRY</t>
  </si>
  <si>
    <t>PETTIS</t>
  </si>
  <si>
    <t>PHELPS</t>
  </si>
  <si>
    <t>PIKE</t>
  </si>
  <si>
    <t>PLATTE</t>
  </si>
  <si>
    <t>POLK</t>
  </si>
  <si>
    <t>PULASKI</t>
  </si>
  <si>
    <t>PUTNAM</t>
  </si>
  <si>
    <t>RALLS</t>
  </si>
  <si>
    <t>RANDOLPH</t>
  </si>
  <si>
    <t>RAY</t>
  </si>
  <si>
    <t>REYNOLDS</t>
  </si>
  <si>
    <t>RIPLEY</t>
  </si>
  <si>
    <t>SALINE</t>
  </si>
  <si>
    <t>SCHUYLER</t>
  </si>
  <si>
    <t>SCOTLAND</t>
  </si>
  <si>
    <t>SCOTT</t>
  </si>
  <si>
    <t>SHANNON</t>
  </si>
  <si>
    <t>SHELBY</t>
  </si>
  <si>
    <t>ST. CHARLES</t>
  </si>
  <si>
    <t>ST. CLAIR</t>
  </si>
  <si>
    <t>ST. FRANCOIS</t>
  </si>
  <si>
    <t>ST. LOUIS</t>
  </si>
  <si>
    <t>ST. LOUIS CITY</t>
  </si>
  <si>
    <t>STE. GENEVIEVE</t>
  </si>
  <si>
    <t>STODDARD</t>
  </si>
  <si>
    <t>STONE</t>
  </si>
  <si>
    <t>SULLIVAN</t>
  </si>
  <si>
    <t>TANEY</t>
  </si>
  <si>
    <t>TEXAS</t>
  </si>
  <si>
    <t>VERNON</t>
  </si>
  <si>
    <t>WARREN</t>
  </si>
  <si>
    <t>WASHINGTON</t>
  </si>
  <si>
    <t>WAYNE</t>
  </si>
  <si>
    <t>WEBSTER</t>
  </si>
  <si>
    <t>WORTH</t>
  </si>
  <si>
    <t>WRIGHT</t>
  </si>
  <si>
    <t>Corn Final Planting Date</t>
  </si>
  <si>
    <t>Soybean Final Planting Date</t>
  </si>
  <si>
    <t>Impact on Future Insurance</t>
  </si>
  <si>
    <t>New APH</t>
  </si>
  <si>
    <t>Variability factor for crop insurance premium estimation?</t>
  </si>
  <si>
    <t>Payments from</t>
  </si>
  <si>
    <t>CAT</t>
  </si>
  <si>
    <t>Revenue Protection</t>
  </si>
  <si>
    <t>Revenue Protection-HPE</t>
  </si>
  <si>
    <t>GRP, GRIP</t>
  </si>
  <si>
    <t>Region</t>
  </si>
  <si>
    <t>Type of crop insurance</t>
  </si>
  <si>
    <t>Yield Protection Price Election</t>
  </si>
  <si>
    <t>Coverage Election</t>
  </si>
  <si>
    <t>Normal yield with timely planting, bushels/acre</t>
  </si>
  <si>
    <t>Appraised yield after crop damage, bushels/acre</t>
  </si>
  <si>
    <t>APH yield, bushels/acre</t>
  </si>
  <si>
    <t>Expected late planting or replanting date</t>
  </si>
  <si>
    <t>Guaranteed Yield</t>
  </si>
  <si>
    <t>Guaranteed Revenue</t>
  </si>
  <si>
    <t>Price Election</t>
  </si>
  <si>
    <t>Cat Yield Coverage</t>
  </si>
  <si>
    <t>CAT Price Election</t>
  </si>
  <si>
    <t>Combo</t>
  </si>
  <si>
    <t>Seed: replant corn or soybean seed, or cover crop for prevented planting</t>
  </si>
  <si>
    <t>GRP,GRIP, None</t>
  </si>
  <si>
    <t>Yield Information</t>
  </si>
  <si>
    <t>Price Information</t>
  </si>
  <si>
    <t>Herbicides, Insecticides, Chemicals</t>
  </si>
  <si>
    <t>Options:</t>
  </si>
  <si>
    <t>Revenue Protection HPE</t>
  </si>
  <si>
    <t>Drying, handling and hauling ($/bu)</t>
  </si>
  <si>
    <t xml:space="preserve">County:  </t>
  </si>
  <si>
    <r>
      <t xml:space="preserve">Harvest </t>
    </r>
    <r>
      <rPr>
        <u/>
        <sz val="10"/>
        <rFont val="Arial"/>
        <family val="2"/>
      </rPr>
      <t>Soybeans as is</t>
    </r>
  </si>
  <si>
    <t>Expected harvest cash price, $ per bushel</t>
  </si>
  <si>
    <t>Expected October futures price, $ per bushel</t>
  </si>
  <si>
    <t>USDA Established Indemnity Prices, $/bushel</t>
  </si>
  <si>
    <r>
      <t xml:space="preserve">Harvest
</t>
    </r>
    <r>
      <rPr>
        <u/>
        <sz val="10"/>
        <rFont val="Arial"/>
        <family val="2"/>
      </rPr>
      <t>Corn as is</t>
    </r>
  </si>
  <si>
    <t>Expected yield based on late/re-planting date, bu/ac</t>
  </si>
  <si>
    <t>Yield used to determine insurance indemnity, bushels/acre</t>
  </si>
  <si>
    <t>Price Election for Yield Protection, % elected</t>
  </si>
  <si>
    <t>Switch to Soybeans</t>
  </si>
  <si>
    <t>Harvest As Is</t>
  </si>
  <si>
    <t>Initial Planting Date</t>
  </si>
  <si>
    <t>Corn Initial Planting Date</t>
  </si>
  <si>
    <t>Soybean Initial Planting Date</t>
  </si>
  <si>
    <t>Corn Late Planting Period</t>
  </si>
  <si>
    <t>SB Initial Planting Date</t>
  </si>
  <si>
    <t>SB Late Planting Period</t>
  </si>
  <si>
    <t>Insurance Selection</t>
  </si>
  <si>
    <t>Late Planting Period Beginning</t>
  </si>
  <si>
    <t>Ideas</t>
  </si>
  <si>
    <t>Enter your input values in blue shaded cells.</t>
  </si>
  <si>
    <t>Prevented Planting Payment</t>
  </si>
  <si>
    <t>Plant Corn</t>
  </si>
  <si>
    <t>Harvest as is</t>
  </si>
  <si>
    <t>Replant Soybeans</t>
  </si>
  <si>
    <t>xx</t>
  </si>
  <si>
    <t>Plant Soybeans Late</t>
  </si>
  <si>
    <t>Prevented Planting Election</t>
  </si>
  <si>
    <t>Computed values are in gray gray shaded cells</t>
  </si>
  <si>
    <t>Computed values are in gray shaded cells</t>
  </si>
  <si>
    <t>Delayed Planting and Replanting Insurance Evaluator</t>
  </si>
  <si>
    <t>Prevented Planting: Corn</t>
  </si>
  <si>
    <t>Soybeans Planted</t>
  </si>
  <si>
    <t>Prevented Planting:Soybeans</t>
  </si>
  <si>
    <t>Choose the tab that  fits the situation you are wanting to evaluate.</t>
  </si>
  <si>
    <t>Each tab consists of a table that allows the user to enter the situation to be analyzed and a graph that shows the breakeven time when a particular decision becomes most profitable.</t>
  </si>
  <si>
    <t>At the bottom right hand corner of the tables the final income is reported along with icons that indicate which is most profitable (green icon indicates greatest profit from that decision).</t>
  </si>
  <si>
    <t>For the graph, the lines representing each crop (corn or soybeans) gives an expected income at different dates that a decision is made.  This enables the user to observe what is expected to happen as the decision is moved through time.</t>
  </si>
  <si>
    <t>Year</t>
  </si>
  <si>
    <t>The following assumptions have been made.  These assumptions will be improved as data becomes available.  Check back to this website for updates.</t>
  </si>
  <si>
    <t>How your choice impacts your variability factor and future insurance premiums</t>
  </si>
  <si>
    <t>How your choice to replant affects your APH yield and future insurance guarantees.</t>
  </si>
  <si>
    <t>The RMA publishes the indemnity prices for corn and soybeans in early March.</t>
  </si>
  <si>
    <t>This must be updated each year for the tool to work properly.</t>
  </si>
  <si>
    <t>Instructions</t>
  </si>
  <si>
    <t>Each crop has 2 tabs: 1 for when the crop that has been planted but damaged early in the season and 1 for when the crop has been prevented from being planted.</t>
  </si>
  <si>
    <t xml:space="preserve">This evaluation tool is meant to be used by farmers who have purchased crop insurance and have early season production problems such as flooding, poor germination or prevented planting.
It is designed to be used for corn and soybean crops.  </t>
  </si>
  <si>
    <t>The early planting always gives maximum expected yield.  This may not be true for very early plantings due to germination or other production problems.</t>
  </si>
  <si>
    <t>The data for late planting yield reductions in MO does not currently have results that last through the entire RMA late planting season.  As additional data for later planting becomes available, it will be incorporated.</t>
  </si>
  <si>
    <t>a</t>
  </si>
  <si>
    <t>b</t>
  </si>
  <si>
    <t>c</t>
  </si>
  <si>
    <t>Soybean</t>
  </si>
  <si>
    <t>Percent of normal</t>
  </si>
  <si>
    <t>Replant Date</t>
  </si>
  <si>
    <t>Start Date - year adjusted</t>
  </si>
  <si>
    <t>End Date - year adjusted</t>
  </si>
  <si>
    <t>Payments under different plans</t>
  </si>
  <si>
    <t>Base year</t>
  </si>
  <si>
    <t>This year</t>
  </si>
  <si>
    <t>Year Adjustment</t>
  </si>
  <si>
    <t>Data for 2012 is the start year</t>
  </si>
  <si>
    <t>Valid Dates from planting research</t>
  </si>
  <si>
    <t>Date for estimating yield percent</t>
  </si>
  <si>
    <t>Yield Estimate Coefficients</t>
  </si>
  <si>
    <t>Yield Estimates</t>
  </si>
  <si>
    <t>Start Date - original data</t>
  </si>
  <si>
    <t>End Date - original data</t>
  </si>
  <si>
    <t>Duration of late planting period (days)</t>
  </si>
  <si>
    <t>Prevented Planting</t>
  </si>
  <si>
    <t>Last Updated: March 2019</t>
  </si>
  <si>
    <t>This program does not consider the following: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</si>
</sst>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8" formatCode="&quot;$&quot;#,##0.00_);[Red]\(&quot;$&quot;#,##0.00\)"/>
    <numFmt numFmtId="44" formatCode="_(&quot;$&quot;* #,##0.00_);_(&quot;$&quot;* \(#,##0.00\);_(&quot;$&quot;* &quot;-&quot;??_);_(@_)"/>
    <numFmt numFmtId="43" formatCode="_(* #,##0.00_);_(* \(#,##0.00\);_(* &quot;-&quot;??_);_(@_)"/>
    <numFmt numFmtId="164" formatCode="0.0"/>
    <numFmt numFmtId="165" formatCode="_(* #,##0_);_(* \(#,##0\);_(* &quot;-&quot;??_);_(@_)"/>
    <numFmt numFmtId="166" formatCode="m/d;@"/>
    <numFmt numFmtId="167" formatCode="[$-409]d\-mmm;@"/>
    <numFmt numFmtId="168" formatCode="[$-409]mmm\-yy;@"/>
    <numFmt numFmtId="169" formatCode="mmm\ dd\,\ yyyy"/>
    <numFmt numFmtId="170" formatCode="m/d/yy;@"/>
    <numFmt numFmtId="171" formatCode="mmm\-dd\-yy"/>
  </numFmts>
  <fonts count="5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color indexed="81"/>
      <name val="Tahoma"/>
      <family val="2"/>
    </font>
    <font>
      <sz val="11"/>
      <name val="Arial"/>
      <family val="2"/>
    </font>
    <font>
      <b/>
      <sz val="10"/>
      <name val="Arial"/>
      <family val="2"/>
    </font>
    <font>
      <sz val="10"/>
      <name val="Arial"/>
      <family val="2"/>
    </font>
    <font>
      <u/>
      <sz val="10"/>
      <name val="Arial"/>
      <family val="2"/>
    </font>
    <font>
      <sz val="10"/>
      <name val="Arial"/>
      <family val="2"/>
    </font>
    <font>
      <u val="singleAccounting"/>
      <sz val="10"/>
      <name val="Arial"/>
      <family val="2"/>
    </font>
    <font>
      <sz val="10"/>
      <name val="Arial"/>
      <family val="2"/>
    </font>
    <font>
      <b/>
      <sz val="11"/>
      <color indexed="63"/>
      <name val="Arial"/>
      <family val="2"/>
    </font>
    <font>
      <u/>
      <sz val="10"/>
      <color indexed="45"/>
      <name val="Arial"/>
      <family val="2"/>
    </font>
    <font>
      <sz val="9"/>
      <name val="Arial"/>
      <family val="2"/>
    </font>
    <font>
      <b/>
      <sz val="10"/>
      <color indexed="60"/>
      <name val="Arial"/>
      <family val="2"/>
    </font>
    <font>
      <sz val="6"/>
      <name val="Arial"/>
      <family val="2"/>
    </font>
    <font>
      <sz val="8"/>
      <color indexed="63"/>
      <name val="Univers"/>
      <family val="2"/>
    </font>
    <font>
      <b/>
      <sz val="11"/>
      <name val="Arial"/>
      <family val="2"/>
    </font>
    <font>
      <sz val="9"/>
      <name val="Arial"/>
      <family val="2"/>
    </font>
    <font>
      <sz val="9"/>
      <color indexed="81"/>
      <name val="Tahoma"/>
      <family val="2"/>
    </font>
    <font>
      <b/>
      <sz val="9"/>
      <color indexed="81"/>
      <name val="Tahoma"/>
      <family val="2"/>
    </font>
    <font>
      <sz val="10"/>
      <color rgb="FFFF0000"/>
      <name val="Arial"/>
      <family val="2"/>
    </font>
    <font>
      <sz val="11"/>
      <color rgb="FFFF0000"/>
      <name val="Arial"/>
      <family val="2"/>
    </font>
    <font>
      <sz val="9"/>
      <color rgb="FFFF0000"/>
      <name val="Arial"/>
      <family val="2"/>
    </font>
    <font>
      <b/>
      <sz val="13"/>
      <color theme="3"/>
      <name val="Calibri"/>
      <family val="2"/>
      <scheme val="minor"/>
    </font>
    <font>
      <b/>
      <sz val="11"/>
      <color theme="3"/>
      <name val="Calibri"/>
      <family val="2"/>
      <scheme val="minor"/>
    </font>
    <font>
      <b/>
      <sz val="11"/>
      <color theme="1"/>
      <name val="Calibri"/>
      <family val="2"/>
      <scheme val="minor"/>
    </font>
    <font>
      <sz val="10"/>
      <color rgb="FFF2F2F2"/>
      <name val="Arial"/>
      <family val="2"/>
    </font>
    <font>
      <b/>
      <sz val="14"/>
      <name val="Arial"/>
      <family val="2"/>
    </font>
    <font>
      <b/>
      <sz val="11"/>
      <name val="Calibri"/>
      <family val="2"/>
      <scheme val="minor"/>
    </font>
    <font>
      <sz val="10"/>
      <name val="Calibri"/>
      <family val="2"/>
      <scheme val="minor"/>
    </font>
    <font>
      <sz val="11"/>
      <name val="Calibri"/>
      <family val="2"/>
      <scheme val="minor"/>
    </font>
    <font>
      <sz val="11"/>
      <color indexed="63"/>
      <name val="Calibri"/>
      <family val="2"/>
      <scheme val="minor"/>
    </font>
    <font>
      <u/>
      <sz val="12"/>
      <name val="Arial"/>
      <family val="2"/>
    </font>
    <font>
      <sz val="11"/>
      <color theme="0"/>
      <name val="Calibri"/>
      <family val="2"/>
      <scheme val="minor"/>
    </font>
    <font>
      <b/>
      <sz val="10"/>
      <color theme="0"/>
      <name val="Arial"/>
      <family val="2"/>
    </font>
    <font>
      <sz val="10"/>
      <color theme="0"/>
      <name val="Arial"/>
      <family val="2"/>
    </font>
    <font>
      <b/>
      <sz val="14"/>
      <color theme="0"/>
      <name val="Arial"/>
      <family val="2"/>
    </font>
    <font>
      <sz val="12"/>
      <name val="Arial"/>
      <family val="2"/>
    </font>
    <font>
      <b/>
      <sz val="12"/>
      <name val="Arial"/>
      <family val="2"/>
    </font>
    <font>
      <i/>
      <sz val="9"/>
      <name val="Arial"/>
      <family val="2"/>
    </font>
    <font>
      <i/>
      <sz val="8"/>
      <name val="Arial"/>
      <family val="2"/>
    </font>
    <font>
      <sz val="10"/>
      <color theme="1"/>
      <name val="Arial"/>
      <family val="2"/>
    </font>
  </fonts>
  <fills count="11">
    <fill>
      <patternFill patternType="none"/>
    </fill>
    <fill>
      <patternFill patternType="gray125"/>
    </fill>
    <fill>
      <patternFill patternType="solid">
        <fgColor indexed="43"/>
        <bgColor indexed="64"/>
      </patternFill>
    </fill>
    <fill>
      <patternFill patternType="solid">
        <fgColor rgb="FF0070C0"/>
        <bgColor indexed="64"/>
      </patternFill>
    </fill>
    <fill>
      <patternFill patternType="solid">
        <fgColor theme="0" tint="-0.34998626667073579"/>
        <bgColor indexed="64"/>
      </patternFill>
    </fill>
    <fill>
      <patternFill patternType="solid">
        <fgColor theme="4" tint="0.79998168889431442"/>
        <bgColor indexed="65"/>
      </patternFill>
    </fill>
    <fill>
      <patternFill patternType="solid">
        <fgColor theme="0" tint="-4.9989318521683403E-2"/>
        <bgColor indexed="64"/>
      </patternFill>
    </fill>
    <fill>
      <patternFill patternType="solid">
        <fgColor rgb="FFB9A45A"/>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46">
    <border>
      <left/>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theme="4" tint="0.499984740745262"/>
      </bottom>
      <diagonal/>
    </border>
    <border>
      <left/>
      <right/>
      <top style="thin">
        <color theme="4"/>
      </top>
      <bottom style="double">
        <color theme="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theme="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auto="1"/>
      </left>
      <right/>
      <top style="medium">
        <color auto="1"/>
      </top>
      <bottom style="thick">
        <color theme="4" tint="0.499984740745262"/>
      </bottom>
      <diagonal/>
    </border>
    <border>
      <left style="medium">
        <color auto="1"/>
      </left>
      <right/>
      <top/>
      <bottom style="thick">
        <color theme="4" tint="0.499984740745262"/>
      </bottom>
      <diagonal/>
    </border>
    <border>
      <left style="medium">
        <color auto="1"/>
      </left>
      <right/>
      <top style="thin">
        <color theme="4"/>
      </top>
      <bottom style="double">
        <color theme="4"/>
      </bottom>
      <diagonal/>
    </border>
    <border>
      <left/>
      <right style="medium">
        <color auto="1"/>
      </right>
      <top style="thin">
        <color theme="4"/>
      </top>
      <bottom style="double">
        <color theme="4"/>
      </bottom>
      <diagonal/>
    </border>
    <border>
      <left/>
      <right/>
      <top/>
      <bottom style="thin">
        <color theme="4"/>
      </bottom>
      <diagonal/>
    </border>
    <border>
      <left/>
      <right style="medium">
        <color auto="1"/>
      </right>
      <top/>
      <bottom style="thin">
        <color theme="4"/>
      </bottom>
      <diagonal/>
    </border>
    <border>
      <left style="medium">
        <color theme="1"/>
      </left>
      <right/>
      <top style="thin">
        <color theme="4"/>
      </top>
      <bottom style="double">
        <color theme="4"/>
      </bottom>
      <diagonal/>
    </border>
    <border>
      <left/>
      <right style="medium">
        <color theme="1"/>
      </right>
      <top style="thin">
        <color theme="4"/>
      </top>
      <bottom style="double">
        <color theme="4"/>
      </bottom>
      <diagonal/>
    </border>
    <border>
      <left style="medium">
        <color theme="1"/>
      </left>
      <right/>
      <top style="thin">
        <color theme="4"/>
      </top>
      <bottom style="medium">
        <color theme="1"/>
      </bottom>
      <diagonal/>
    </border>
    <border>
      <left/>
      <right/>
      <top style="thin">
        <color theme="4"/>
      </top>
      <bottom style="medium">
        <color theme="1"/>
      </bottom>
      <diagonal/>
    </border>
    <border>
      <left/>
      <right style="medium">
        <color theme="1"/>
      </right>
      <top style="thin">
        <color theme="4"/>
      </top>
      <bottom style="medium">
        <color theme="1"/>
      </bottom>
      <diagonal/>
    </border>
    <border>
      <left style="medium">
        <color auto="1"/>
      </left>
      <right/>
      <top style="thin">
        <color theme="4"/>
      </top>
      <bottom style="medium">
        <color auto="1"/>
      </bottom>
      <diagonal/>
    </border>
    <border>
      <left/>
      <right/>
      <top style="thin">
        <color theme="4"/>
      </top>
      <bottom style="medium">
        <color auto="1"/>
      </bottom>
      <diagonal/>
    </border>
    <border>
      <left/>
      <right style="medium">
        <color auto="1"/>
      </right>
      <top style="thin">
        <color theme="4"/>
      </top>
      <bottom style="medium">
        <color auto="1"/>
      </bottom>
      <diagonal/>
    </border>
    <border>
      <left/>
      <right/>
      <top/>
      <bottom style="thick">
        <color theme="1"/>
      </bottom>
      <diagonal/>
    </border>
    <border>
      <left/>
      <right style="thick">
        <color auto="1"/>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ck">
        <color theme="1"/>
      </top>
      <bottom/>
      <diagonal/>
    </border>
    <border>
      <left/>
      <right/>
      <top/>
      <bottom style="thick">
        <color indexed="64"/>
      </bottom>
      <diagonal/>
    </border>
  </borders>
  <cellStyleXfs count="12">
    <xf numFmtId="0" fontId="0" fillId="0" borderId="0"/>
    <xf numFmtId="43" fontId="6" fillId="0" borderId="0" applyFont="0" applyFill="0" applyBorder="0" applyAlignment="0" applyProtection="0"/>
    <xf numFmtId="44" fontId="6" fillId="0" borderId="0" applyFont="0" applyFill="0" applyBorder="0" applyAlignment="0" applyProtection="0"/>
    <xf numFmtId="0" fontId="9" fillId="0" borderId="0" applyNumberFormat="0" applyFill="0" applyBorder="0" applyAlignment="0" applyProtection="0">
      <alignment vertical="top"/>
      <protection locked="0"/>
    </xf>
    <xf numFmtId="9" fontId="6" fillId="0" borderId="0" applyFont="0" applyFill="0" applyBorder="0" applyAlignment="0" applyProtection="0"/>
    <xf numFmtId="0" fontId="31" fillId="0" borderId="15" applyNumberFormat="0" applyFill="0" applyAlignment="0" applyProtection="0"/>
    <xf numFmtId="0" fontId="32" fillId="0" borderId="0" applyNumberFormat="0" applyFill="0" applyBorder="0" applyAlignment="0" applyProtection="0"/>
    <xf numFmtId="0" fontId="33" fillId="0" borderId="16" applyNumberFormat="0" applyFill="0" applyAlignment="0" applyProtection="0"/>
    <xf numFmtId="0" fontId="5" fillId="5" borderId="0" applyNumberFormat="0" applyBorder="0" applyAlignment="0" applyProtection="0"/>
    <xf numFmtId="0" fontId="4" fillId="0" borderId="0"/>
    <xf numFmtId="0" fontId="6" fillId="0" borderId="0"/>
    <xf numFmtId="0" fontId="6" fillId="0" borderId="0"/>
  </cellStyleXfs>
  <cellXfs count="540">
    <xf numFmtId="0" fontId="0" fillId="0" borderId="0" xfId="0"/>
    <xf numFmtId="0" fontId="6" fillId="0" borderId="0" xfId="0" applyFont="1"/>
    <xf numFmtId="0" fontId="13" fillId="0" borderId="0" xfId="0" applyFont="1" applyProtection="1"/>
    <xf numFmtId="0" fontId="13" fillId="0" borderId="1" xfId="0" applyFont="1" applyBorder="1" applyProtection="1"/>
    <xf numFmtId="0" fontId="15" fillId="0" borderId="0" xfId="0" applyFont="1" applyProtection="1"/>
    <xf numFmtId="0" fontId="15" fillId="0" borderId="0" xfId="0" applyFont="1" applyBorder="1" applyAlignment="1" applyProtection="1">
      <alignment horizontal="center" wrapText="1"/>
    </xf>
    <xf numFmtId="0" fontId="15" fillId="0" borderId="0" xfId="0" applyFont="1" applyBorder="1" applyProtection="1"/>
    <xf numFmtId="16" fontId="15" fillId="0" borderId="0" xfId="0" applyNumberFormat="1" applyFont="1" applyBorder="1" applyProtection="1"/>
    <xf numFmtId="0" fontId="13" fillId="0" borderId="0" xfId="0" applyFont="1" applyBorder="1" applyProtection="1"/>
    <xf numFmtId="44" fontId="13" fillId="0" borderId="0" xfId="2" applyFont="1" applyBorder="1" applyProtection="1"/>
    <xf numFmtId="44" fontId="13" fillId="0" borderId="0" xfId="2" applyFont="1" applyFill="1" applyBorder="1" applyProtection="1"/>
    <xf numFmtId="43" fontId="13" fillId="0" borderId="0" xfId="1" applyFont="1" applyFill="1" applyBorder="1" applyProtection="1"/>
    <xf numFmtId="0" fontId="13" fillId="0" borderId="2" xfId="0" applyFont="1" applyBorder="1" applyProtection="1"/>
    <xf numFmtId="0" fontId="16" fillId="0" borderId="0" xfId="0" applyFont="1" applyProtection="1"/>
    <xf numFmtId="43" fontId="13" fillId="0" borderId="0" xfId="1" applyFont="1" applyBorder="1" applyProtection="1"/>
    <xf numFmtId="0" fontId="12" fillId="0" borderId="0" xfId="0" applyFont="1" applyProtection="1"/>
    <xf numFmtId="44" fontId="12" fillId="0" borderId="0" xfId="0" applyNumberFormat="1" applyFont="1" applyBorder="1" applyProtection="1"/>
    <xf numFmtId="0" fontId="20" fillId="0" borderId="0" xfId="0" applyFont="1" applyFill="1" applyBorder="1" applyAlignment="1" applyProtection="1"/>
    <xf numFmtId="0" fontId="12" fillId="0" borderId="0" xfId="0" applyFont="1" applyFill="1" applyBorder="1" applyAlignment="1" applyProtection="1"/>
    <xf numFmtId="0" fontId="6" fillId="0" borderId="0" xfId="0" applyFont="1" applyProtection="1"/>
    <xf numFmtId="0" fontId="6" fillId="0" borderId="1" xfId="0" applyFont="1" applyBorder="1" applyAlignment="1" applyProtection="1">
      <alignment horizontal="left" vertical="top"/>
    </xf>
    <xf numFmtId="0" fontId="6" fillId="0" borderId="0" xfId="0" applyFont="1" applyBorder="1" applyProtection="1"/>
    <xf numFmtId="0" fontId="11" fillId="0" borderId="0" xfId="0" applyFont="1" applyBorder="1" applyAlignment="1" applyProtection="1"/>
    <xf numFmtId="44" fontId="15" fillId="0" borderId="0" xfId="2" applyFont="1" applyFill="1" applyBorder="1" applyProtection="1"/>
    <xf numFmtId="0" fontId="12" fillId="0" borderId="0" xfId="0" applyFont="1" applyBorder="1" applyProtection="1"/>
    <xf numFmtId="0" fontId="24" fillId="0" borderId="0" xfId="0" applyFont="1" applyProtection="1"/>
    <xf numFmtId="0" fontId="29" fillId="0" borderId="0" xfId="0" applyFont="1" applyBorder="1" applyAlignment="1" applyProtection="1"/>
    <xf numFmtId="49" fontId="0" fillId="0" borderId="0" xfId="0" applyNumberFormat="1"/>
    <xf numFmtId="166" fontId="0" fillId="0" borderId="0" xfId="0" applyNumberFormat="1"/>
    <xf numFmtId="49" fontId="8" fillId="0" borderId="0" xfId="0" applyNumberFormat="1" applyFont="1"/>
    <xf numFmtId="0" fontId="6" fillId="0" borderId="0" xfId="0" applyFont="1" applyFill="1" applyBorder="1" applyProtection="1"/>
    <xf numFmtId="0" fontId="13" fillId="0" borderId="0" xfId="0" applyFont="1" applyFill="1" applyBorder="1" applyProtection="1"/>
    <xf numFmtId="49" fontId="6" fillId="0" borderId="0" xfId="0" applyNumberFormat="1" applyFont="1"/>
    <xf numFmtId="0" fontId="6" fillId="0" borderId="0" xfId="0" applyFont="1" applyFill="1" applyBorder="1" applyAlignment="1" applyProtection="1">
      <alignment horizontal="left"/>
    </xf>
    <xf numFmtId="0" fontId="6" fillId="0" borderId="1" xfId="0" applyFont="1" applyBorder="1" applyAlignment="1" applyProtection="1"/>
    <xf numFmtId="0" fontId="6" fillId="0" borderId="1" xfId="0" applyFont="1" applyFill="1" applyBorder="1" applyAlignment="1" applyProtection="1">
      <alignment horizontal="left"/>
    </xf>
    <xf numFmtId="0" fontId="15" fillId="0" borderId="0" xfId="0" applyFont="1" applyFill="1" applyBorder="1" applyAlignment="1" applyProtection="1">
      <alignment horizontal="left"/>
    </xf>
    <xf numFmtId="8" fontId="13" fillId="0" borderId="0" xfId="0" applyNumberFormat="1" applyFont="1" applyBorder="1" applyAlignment="1" applyProtection="1">
      <alignment horizontal="right"/>
    </xf>
    <xf numFmtId="43" fontId="16" fillId="0" borderId="0" xfId="1" applyFont="1" applyFill="1" applyBorder="1" applyAlignment="1" applyProtection="1">
      <alignment vertical="top"/>
    </xf>
    <xf numFmtId="44" fontId="13" fillId="0" borderId="0" xfId="2" applyFont="1" applyFill="1" applyBorder="1" applyAlignment="1" applyProtection="1">
      <alignment horizontal="right"/>
    </xf>
    <xf numFmtId="0" fontId="13" fillId="0" borderId="0" xfId="0" applyFont="1" applyFill="1" applyBorder="1" applyAlignment="1" applyProtection="1"/>
    <xf numFmtId="0" fontId="16" fillId="0" borderId="0" xfId="0" applyFont="1" applyFill="1" applyBorder="1" applyAlignment="1" applyProtection="1">
      <alignment vertical="top"/>
    </xf>
    <xf numFmtId="0" fontId="6" fillId="0" borderId="0" xfId="0" applyFont="1" applyBorder="1" applyAlignment="1" applyProtection="1"/>
    <xf numFmtId="0" fontId="7" fillId="0" borderId="0" xfId="0" applyFont="1" applyBorder="1" applyProtection="1"/>
    <xf numFmtId="8" fontId="12" fillId="0" borderId="0" xfId="0" applyNumberFormat="1" applyFont="1" applyBorder="1" applyProtection="1"/>
    <xf numFmtId="8" fontId="13" fillId="0" borderId="0" xfId="2" applyNumberFormat="1" applyFont="1" applyFill="1" applyBorder="1" applyAlignment="1" applyProtection="1">
      <alignment horizontal="right"/>
    </xf>
    <xf numFmtId="0" fontId="12" fillId="0" borderId="0" xfId="0" applyFont="1" applyBorder="1" applyAlignment="1" applyProtection="1">
      <alignment horizontal="left"/>
    </xf>
    <xf numFmtId="0" fontId="15" fillId="0" borderId="0" xfId="0" applyFont="1" applyBorder="1" applyAlignment="1" applyProtection="1">
      <alignment horizontal="left"/>
    </xf>
    <xf numFmtId="0" fontId="13" fillId="0" borderId="0" xfId="0" applyFont="1" applyBorder="1" applyAlignment="1" applyProtection="1">
      <alignment horizontal="center" wrapText="1"/>
    </xf>
    <xf numFmtId="0" fontId="6" fillId="0" borderId="1" xfId="0" applyFont="1" applyBorder="1" applyAlignment="1" applyProtection="1">
      <alignment horizontal="left"/>
    </xf>
    <xf numFmtId="0" fontId="15" fillId="0" borderId="0" xfId="0" applyFont="1" applyFill="1" applyBorder="1" applyProtection="1"/>
    <xf numFmtId="0" fontId="20" fillId="0" borderId="0" xfId="0" applyFont="1" applyFill="1" applyBorder="1" applyAlignment="1" applyProtection="1">
      <alignment horizontal="center"/>
    </xf>
    <xf numFmtId="0" fontId="19" fillId="0" borderId="0" xfId="3" applyFont="1" applyFill="1" applyBorder="1" applyAlignment="1" applyProtection="1">
      <alignment horizontal="left"/>
    </xf>
    <xf numFmtId="0" fontId="6" fillId="0" borderId="0" xfId="3" applyFont="1" applyFill="1" applyBorder="1" applyAlignment="1" applyProtection="1">
      <alignment horizontal="left"/>
    </xf>
    <xf numFmtId="0" fontId="8" fillId="0" borderId="0" xfId="0" applyFont="1" applyFill="1" applyBorder="1" applyProtection="1"/>
    <xf numFmtId="164" fontId="15" fillId="0" borderId="0" xfId="1" applyNumberFormat="1" applyFont="1" applyFill="1" applyBorder="1" applyProtection="1"/>
    <xf numFmtId="0" fontId="13" fillId="6" borderId="1" xfId="0" applyFont="1" applyFill="1" applyBorder="1" applyAlignment="1" applyProtection="1">
      <alignment horizontal="center" wrapText="1"/>
    </xf>
    <xf numFmtId="44" fontId="13" fillId="6" borderId="1" xfId="2" applyFont="1" applyFill="1" applyBorder="1" applyAlignment="1" applyProtection="1">
      <alignment horizontal="right"/>
    </xf>
    <xf numFmtId="0" fontId="13" fillId="6" borderId="0" xfId="0" applyFont="1" applyFill="1" applyBorder="1" applyAlignment="1" applyProtection="1">
      <alignment horizontal="center" wrapText="1"/>
    </xf>
    <xf numFmtId="8" fontId="13" fillId="0" borderId="0" xfId="0" applyNumberFormat="1" applyFont="1" applyFill="1" applyBorder="1" applyAlignment="1" applyProtection="1">
      <alignment horizontal="right"/>
    </xf>
    <xf numFmtId="8" fontId="33" fillId="0" borderId="16" xfId="7" applyNumberFormat="1" applyFill="1" applyAlignment="1" applyProtection="1">
      <alignment horizontal="right"/>
    </xf>
    <xf numFmtId="8" fontId="12" fillId="0" borderId="0" xfId="0" applyNumberFormat="1" applyFont="1" applyFill="1" applyBorder="1" applyProtection="1"/>
    <xf numFmtId="8" fontId="13" fillId="0" borderId="0" xfId="0" applyNumberFormat="1" applyFont="1" applyBorder="1" applyProtection="1"/>
    <xf numFmtId="8" fontId="5" fillId="5" borderId="2" xfId="8" applyNumberFormat="1" applyBorder="1" applyAlignment="1" applyProtection="1">
      <alignment horizontal="center" vertical="top"/>
      <protection locked="0"/>
    </xf>
    <xf numFmtId="0" fontId="6" fillId="6" borderId="1" xfId="0" applyFont="1" applyFill="1" applyBorder="1" applyAlignment="1" applyProtection="1">
      <alignment horizontal="right"/>
    </xf>
    <xf numFmtId="0" fontId="6" fillId="0" borderId="0" xfId="0" applyFont="1" applyFill="1" applyBorder="1" applyAlignment="1" applyProtection="1">
      <alignment horizontal="right"/>
    </xf>
    <xf numFmtId="8" fontId="5" fillId="5" borderId="2" xfId="8" applyNumberFormat="1" applyBorder="1" applyAlignment="1" applyProtection="1">
      <alignment horizontal="right" vertical="top"/>
      <protection locked="0"/>
    </xf>
    <xf numFmtId="0" fontId="13" fillId="0" borderId="0" xfId="0" applyFont="1" applyFill="1" applyBorder="1" applyAlignment="1" applyProtection="1">
      <alignment horizontal="right"/>
    </xf>
    <xf numFmtId="43" fontId="6" fillId="0" borderId="0" xfId="1" applyFont="1" applyFill="1" applyBorder="1" applyAlignment="1" applyProtection="1">
      <alignment horizontal="right" vertical="top"/>
    </xf>
    <xf numFmtId="0" fontId="14" fillId="0" borderId="0" xfId="0" applyFont="1" applyBorder="1" applyAlignment="1" applyProtection="1">
      <alignment horizontal="center" wrapText="1"/>
    </xf>
    <xf numFmtId="165" fontId="15" fillId="6" borderId="0" xfId="1" applyNumberFormat="1" applyFont="1" applyFill="1" applyBorder="1" applyAlignment="1" applyProtection="1">
      <alignment horizontal="right"/>
    </xf>
    <xf numFmtId="165" fontId="15" fillId="0" borderId="0" xfId="1" applyNumberFormat="1" applyFont="1" applyBorder="1" applyAlignment="1" applyProtection="1">
      <alignment horizontal="right"/>
    </xf>
    <xf numFmtId="3" fontId="15" fillId="6" borderId="2" xfId="0" applyNumberFormat="1" applyFont="1" applyFill="1" applyBorder="1" applyAlignment="1" applyProtection="1">
      <alignment horizontal="right"/>
    </xf>
    <xf numFmtId="0" fontId="32" fillId="0" borderId="1" xfId="6" applyBorder="1" applyAlignment="1" applyProtection="1">
      <alignment horizontal="left"/>
    </xf>
    <xf numFmtId="43" fontId="33" fillId="0" borderId="16" xfId="7" applyNumberFormat="1" applyProtection="1"/>
    <xf numFmtId="8" fontId="5" fillId="5" borderId="1" xfId="8" applyNumberFormat="1" applyBorder="1" applyAlignment="1" applyProtection="1">
      <alignment horizontal="right" vertical="top"/>
    </xf>
    <xf numFmtId="0" fontId="32" fillId="0" borderId="1" xfId="6" applyFill="1" applyBorder="1" applyAlignment="1" applyProtection="1">
      <alignment horizontal="left"/>
    </xf>
    <xf numFmtId="0" fontId="12" fillId="0" borderId="0" xfId="0" applyFont="1" applyFill="1" applyBorder="1" applyAlignment="1" applyProtection="1">
      <alignment horizontal="left"/>
    </xf>
    <xf numFmtId="8" fontId="13" fillId="0" borderId="0" xfId="1" applyNumberFormat="1" applyFont="1" applyFill="1" applyBorder="1" applyProtection="1"/>
    <xf numFmtId="8" fontId="13" fillId="6" borderId="2" xfId="1" applyNumberFormat="1" applyFont="1" applyFill="1" applyBorder="1" applyProtection="1"/>
    <xf numFmtId="9" fontId="34" fillId="6" borderId="1" xfId="0" applyNumberFormat="1" applyFont="1" applyFill="1" applyBorder="1" applyAlignment="1" applyProtection="1">
      <alignment horizontal="right"/>
    </xf>
    <xf numFmtId="9" fontId="34" fillId="0" borderId="0" xfId="0" applyNumberFormat="1" applyFont="1" applyFill="1" applyBorder="1" applyAlignment="1" applyProtection="1">
      <alignment horizontal="right"/>
    </xf>
    <xf numFmtId="0" fontId="34" fillId="6" borderId="1" xfId="0" applyFont="1" applyFill="1" applyBorder="1" applyAlignment="1" applyProtection="1">
      <alignment horizontal="right"/>
    </xf>
    <xf numFmtId="0" fontId="34" fillId="0" borderId="0" xfId="0" applyFont="1" applyFill="1" applyBorder="1" applyAlignment="1" applyProtection="1">
      <alignment horizontal="right"/>
    </xf>
    <xf numFmtId="0" fontId="13" fillId="0" borderId="0" xfId="0" applyFont="1" applyFill="1" applyBorder="1" applyAlignment="1" applyProtection="1">
      <alignment horizontal="left"/>
    </xf>
    <xf numFmtId="0" fontId="12" fillId="0" borderId="0" xfId="0" applyFont="1" applyFill="1" applyBorder="1" applyAlignment="1" applyProtection="1">
      <alignment horizontal="center"/>
    </xf>
    <xf numFmtId="0" fontId="12" fillId="0" borderId="0" xfId="0" applyFont="1" applyFill="1" applyBorder="1" applyProtection="1"/>
    <xf numFmtId="8" fontId="5" fillId="5" borderId="0" xfId="8" applyNumberFormat="1" applyBorder="1" applyAlignment="1" applyProtection="1">
      <alignment horizontal="center" vertical="top"/>
      <protection locked="0"/>
    </xf>
    <xf numFmtId="0" fontId="31" fillId="0" borderId="15" xfId="5" applyFill="1" applyBorder="1" applyAlignment="1" applyProtection="1">
      <alignment horizontal="left"/>
    </xf>
    <xf numFmtId="0" fontId="6" fillId="0" borderId="19" xfId="0" applyFont="1" applyBorder="1" applyProtection="1"/>
    <xf numFmtId="0" fontId="6" fillId="0" borderId="27" xfId="0" applyFont="1" applyBorder="1" applyProtection="1"/>
    <xf numFmtId="0" fontId="6" fillId="0" borderId="27" xfId="0" applyFont="1" applyFill="1" applyBorder="1" applyProtection="1"/>
    <xf numFmtId="0" fontId="6" fillId="0" borderId="28" xfId="0" applyFont="1" applyBorder="1" applyProtection="1"/>
    <xf numFmtId="43" fontId="5" fillId="5" borderId="17" xfId="8" applyNumberFormat="1" applyBorder="1" applyAlignment="1" applyProtection="1">
      <alignment horizontal="right"/>
      <protection locked="0"/>
    </xf>
    <xf numFmtId="8" fontId="5" fillId="5" borderId="11" xfId="8" applyNumberFormat="1" applyBorder="1" applyAlignment="1" applyProtection="1">
      <alignment horizontal="right" vertical="top"/>
      <protection locked="0"/>
    </xf>
    <xf numFmtId="8" fontId="5" fillId="5" borderId="18" xfId="8" applyNumberFormat="1" applyBorder="1" applyAlignment="1" applyProtection="1">
      <alignment horizontal="right"/>
    </xf>
    <xf numFmtId="44" fontId="5" fillId="5" borderId="17" xfId="8" applyNumberFormat="1" applyBorder="1" applyAlignment="1" applyProtection="1">
      <alignment horizontal="right"/>
    </xf>
    <xf numFmtId="0" fontId="5" fillId="5" borderId="17" xfId="8" applyBorder="1" applyAlignment="1" applyProtection="1">
      <alignment horizontal="right"/>
    </xf>
    <xf numFmtId="8" fontId="5" fillId="5" borderId="17" xfId="8" applyNumberFormat="1" applyBorder="1" applyAlignment="1" applyProtection="1">
      <alignment horizontal="right"/>
    </xf>
    <xf numFmtId="8" fontId="5" fillId="5" borderId="17" xfId="8" applyNumberFormat="1" applyBorder="1" applyAlignment="1" applyProtection="1">
      <alignment horizontal="right"/>
      <protection locked="0"/>
    </xf>
    <xf numFmtId="0" fontId="12" fillId="0" borderId="2" xfId="0" applyFont="1" applyFill="1" applyBorder="1" applyAlignment="1" applyProtection="1">
      <alignment horizontal="center"/>
    </xf>
    <xf numFmtId="8" fontId="5" fillId="0" borderId="18" xfId="8" applyNumberFormat="1" applyFill="1" applyBorder="1" applyAlignment="1" applyProtection="1">
      <alignment horizontal="right"/>
    </xf>
    <xf numFmtId="8" fontId="5" fillId="5" borderId="22" xfId="8" applyNumberFormat="1" applyBorder="1" applyAlignment="1" applyProtection="1">
      <alignment horizontal="right"/>
      <protection locked="0"/>
    </xf>
    <xf numFmtId="0" fontId="33" fillId="0" borderId="16" xfId="7" applyBorder="1" applyProtection="1"/>
    <xf numFmtId="0" fontId="33" fillId="0" borderId="16" xfId="7" applyFill="1" applyBorder="1" applyProtection="1"/>
    <xf numFmtId="0" fontId="33" fillId="0" borderId="29" xfId="7" applyBorder="1" applyProtection="1"/>
    <xf numFmtId="0" fontId="33" fillId="0" borderId="30" xfId="7" applyBorder="1" applyProtection="1"/>
    <xf numFmtId="8" fontId="33" fillId="6" borderId="26" xfId="7" applyNumberFormat="1" applyFill="1" applyBorder="1" applyAlignment="1" applyProtection="1">
      <alignment horizontal="right"/>
    </xf>
    <xf numFmtId="0" fontId="6" fillId="0" borderId="0" xfId="0" applyFont="1" applyBorder="1" applyAlignment="1" applyProtection="1">
      <alignment vertical="top"/>
    </xf>
    <xf numFmtId="0" fontId="33" fillId="0" borderId="0" xfId="7" applyBorder="1" applyProtection="1"/>
    <xf numFmtId="8" fontId="33" fillId="6" borderId="16" xfId="7" applyNumberFormat="1" applyFill="1" applyBorder="1" applyAlignment="1" applyProtection="1">
      <alignment horizontal="right"/>
    </xf>
    <xf numFmtId="0" fontId="24" fillId="0" borderId="0" xfId="0" applyFont="1" applyBorder="1" applyAlignment="1" applyProtection="1"/>
    <xf numFmtId="8" fontId="5" fillId="5" borderId="0" xfId="8" applyNumberFormat="1" applyFont="1" applyBorder="1" applyAlignment="1" applyProtection="1">
      <alignment horizontal="center"/>
      <protection locked="0"/>
    </xf>
    <xf numFmtId="8" fontId="5" fillId="5" borderId="2" xfId="8" applyNumberFormat="1" applyFont="1" applyBorder="1" applyAlignment="1" applyProtection="1">
      <alignment horizontal="center"/>
      <protection locked="0"/>
    </xf>
    <xf numFmtId="0" fontId="5" fillId="5" borderId="0" xfId="8" applyFont="1" applyBorder="1" applyAlignment="1" applyProtection="1">
      <alignment horizontal="center"/>
      <protection locked="0"/>
    </xf>
    <xf numFmtId="0" fontId="5" fillId="5" borderId="2" xfId="8" applyFont="1" applyBorder="1" applyAlignment="1" applyProtection="1">
      <alignment horizontal="center"/>
      <protection locked="0"/>
    </xf>
    <xf numFmtId="0" fontId="5" fillId="5" borderId="0" xfId="8" applyFont="1" applyBorder="1" applyAlignment="1" applyProtection="1">
      <alignment horizontal="left"/>
    </xf>
    <xf numFmtId="9" fontId="5" fillId="5" borderId="0" xfId="8" applyNumberFormat="1" applyFont="1" applyBorder="1" applyAlignment="1" applyProtection="1">
      <alignment horizontal="center"/>
      <protection locked="0"/>
    </xf>
    <xf numFmtId="9" fontId="5" fillId="5" borderId="2" xfId="8" applyNumberFormat="1" applyFont="1" applyBorder="1" applyAlignment="1" applyProtection="1">
      <alignment horizontal="center"/>
      <protection locked="0"/>
    </xf>
    <xf numFmtId="0" fontId="5" fillId="6" borderId="0" xfId="8" applyFont="1" applyFill="1" applyBorder="1" applyAlignment="1" applyProtection="1">
      <alignment horizontal="left"/>
    </xf>
    <xf numFmtId="0" fontId="36" fillId="0" borderId="10" xfId="0" applyFont="1" applyBorder="1" applyAlignment="1" applyProtection="1">
      <alignment horizontal="center"/>
    </xf>
    <xf numFmtId="0" fontId="36" fillId="0" borderId="10" xfId="0" applyFont="1" applyFill="1" applyBorder="1" applyAlignment="1" applyProtection="1">
      <alignment horizontal="center"/>
    </xf>
    <xf numFmtId="0" fontId="36" fillId="0" borderId="4" xfId="0" applyFont="1" applyBorder="1" applyAlignment="1" applyProtection="1">
      <alignment horizontal="center"/>
    </xf>
    <xf numFmtId="0" fontId="36" fillId="0" borderId="0" xfId="0" applyFont="1" applyBorder="1" applyAlignment="1" applyProtection="1">
      <alignment horizontal="center"/>
    </xf>
    <xf numFmtId="0" fontId="36" fillId="0" borderId="0" xfId="0" applyFont="1" applyFill="1" applyBorder="1" applyAlignment="1" applyProtection="1">
      <alignment horizontal="center"/>
    </xf>
    <xf numFmtId="0" fontId="36" fillId="0" borderId="2" xfId="0" applyFont="1" applyBorder="1" applyAlignment="1" applyProtection="1">
      <alignment horizontal="center"/>
    </xf>
    <xf numFmtId="0" fontId="38" fillId="0" borderId="0" xfId="0" applyFont="1" applyFill="1" applyBorder="1" applyAlignment="1" applyProtection="1">
      <alignment horizontal="left"/>
    </xf>
    <xf numFmtId="0" fontId="36" fillId="0" borderId="0" xfId="0" applyFont="1" applyFill="1" applyBorder="1" applyAlignment="1" applyProtection="1">
      <alignment horizontal="left"/>
    </xf>
    <xf numFmtId="9" fontId="38" fillId="6" borderId="0" xfId="4" applyNumberFormat="1" applyFont="1" applyFill="1" applyBorder="1" applyAlignment="1" applyProtection="1">
      <alignment horizontal="center"/>
    </xf>
    <xf numFmtId="9" fontId="38" fillId="0" borderId="0" xfId="4" applyNumberFormat="1" applyFont="1" applyFill="1" applyBorder="1" applyAlignment="1" applyProtection="1">
      <alignment horizontal="center"/>
    </xf>
    <xf numFmtId="9" fontId="38" fillId="6" borderId="2" xfId="4" applyNumberFormat="1" applyFont="1" applyFill="1" applyBorder="1" applyAlignment="1" applyProtection="1">
      <alignment horizontal="center"/>
    </xf>
    <xf numFmtId="8" fontId="13" fillId="6" borderId="1" xfId="1" applyNumberFormat="1" applyFont="1" applyFill="1" applyBorder="1" applyProtection="1"/>
    <xf numFmtId="8" fontId="13" fillId="6" borderId="0" xfId="1" applyNumberFormat="1" applyFont="1" applyFill="1" applyBorder="1" applyProtection="1"/>
    <xf numFmtId="8" fontId="13" fillId="0" borderId="0" xfId="1" applyNumberFormat="1" applyFont="1" applyBorder="1" applyProtection="1"/>
    <xf numFmtId="8" fontId="16" fillId="6" borderId="1" xfId="1" applyNumberFormat="1" applyFont="1" applyFill="1" applyBorder="1" applyProtection="1"/>
    <xf numFmtId="8" fontId="16" fillId="0" borderId="0" xfId="1" applyNumberFormat="1" applyFont="1" applyFill="1" applyBorder="1" applyProtection="1"/>
    <xf numFmtId="8" fontId="17" fillId="6" borderId="0" xfId="1" applyNumberFormat="1" applyFont="1" applyFill="1" applyBorder="1" applyProtection="1"/>
    <xf numFmtId="8" fontId="17" fillId="0" borderId="0" xfId="1" applyNumberFormat="1" applyFont="1" applyFill="1" applyBorder="1" applyProtection="1"/>
    <xf numFmtId="8" fontId="16" fillId="6" borderId="2" xfId="1" applyNumberFormat="1" applyFont="1" applyFill="1" applyBorder="1" applyProtection="1"/>
    <xf numFmtId="8" fontId="16" fillId="0" borderId="0" xfId="1" applyNumberFormat="1" applyFont="1" applyBorder="1" applyProtection="1"/>
    <xf numFmtId="8" fontId="33" fillId="6" borderId="25" xfId="7" applyNumberFormat="1" applyFill="1" applyBorder="1" applyProtection="1"/>
    <xf numFmtId="8" fontId="33" fillId="0" borderId="0" xfId="7" applyNumberFormat="1" applyFill="1" applyBorder="1" applyProtection="1"/>
    <xf numFmtId="8" fontId="33" fillId="6" borderId="16" xfId="7" applyNumberFormat="1" applyFill="1" applyBorder="1" applyProtection="1"/>
    <xf numFmtId="8" fontId="33" fillId="0" borderId="0" xfId="7" applyNumberFormat="1" applyBorder="1" applyProtection="1"/>
    <xf numFmtId="8" fontId="33" fillId="6" borderId="26" xfId="7" applyNumberFormat="1" applyFill="1" applyBorder="1" applyProtection="1"/>
    <xf numFmtId="0" fontId="6" fillId="0" borderId="21" xfId="0" applyFont="1" applyBorder="1" applyAlignment="1" applyProtection="1">
      <alignment horizontal="center" wrapText="1"/>
    </xf>
    <xf numFmtId="0" fontId="6" fillId="0" borderId="0" xfId="0" applyFont="1" applyBorder="1" applyAlignment="1" applyProtection="1">
      <alignment horizontal="center" wrapText="1"/>
    </xf>
    <xf numFmtId="43" fontId="16" fillId="0" borderId="9" xfId="1" applyFont="1" applyBorder="1" applyProtection="1"/>
    <xf numFmtId="8" fontId="13" fillId="0" borderId="0" xfId="1" applyNumberFormat="1" applyFont="1" applyFill="1" applyBorder="1" applyAlignment="1" applyProtection="1">
      <alignment horizontal="right"/>
    </xf>
    <xf numFmtId="8" fontId="5" fillId="5" borderId="28" xfId="8" applyNumberFormat="1" applyBorder="1" applyAlignment="1" applyProtection="1">
      <alignment horizontal="right" vertical="top"/>
      <protection locked="0"/>
    </xf>
    <xf numFmtId="8" fontId="16" fillId="6" borderId="19" xfId="1" applyNumberFormat="1" applyFont="1" applyFill="1" applyBorder="1" applyProtection="1"/>
    <xf numFmtId="8" fontId="6" fillId="6" borderId="2" xfId="1" applyNumberFormat="1" applyFont="1" applyFill="1" applyBorder="1" applyProtection="1"/>
    <xf numFmtId="8" fontId="33" fillId="0" borderId="25" xfId="7" applyNumberFormat="1" applyBorder="1" applyProtection="1"/>
    <xf numFmtId="8" fontId="33" fillId="6" borderId="25" xfId="7" applyNumberFormat="1" applyFill="1" applyBorder="1" applyAlignment="1" applyProtection="1">
      <alignment horizontal="right"/>
    </xf>
    <xf numFmtId="8" fontId="33" fillId="0" borderId="0" xfId="7" applyNumberFormat="1" applyFill="1" applyBorder="1" applyAlignment="1" applyProtection="1">
      <alignment horizontal="right"/>
    </xf>
    <xf numFmtId="8" fontId="33" fillId="0" borderId="16" xfId="7" applyNumberFormat="1" applyFill="1" applyProtection="1"/>
    <xf numFmtId="8" fontId="33" fillId="0" borderId="31" xfId="7" applyNumberFormat="1" applyBorder="1" applyProtection="1"/>
    <xf numFmtId="8" fontId="33" fillId="0" borderId="32" xfId="7" applyNumberFormat="1" applyBorder="1" applyProtection="1"/>
    <xf numFmtId="8" fontId="33" fillId="0" borderId="32" xfId="7" applyNumberFormat="1" applyFill="1" applyBorder="1" applyProtection="1"/>
    <xf numFmtId="8" fontId="33" fillId="0" borderId="33" xfId="7" applyNumberFormat="1" applyBorder="1" applyProtection="1"/>
    <xf numFmtId="8" fontId="33" fillId="6" borderId="34" xfId="7" applyNumberFormat="1" applyFill="1" applyBorder="1" applyProtection="1"/>
    <xf numFmtId="8" fontId="33" fillId="0" borderId="8" xfId="7" applyNumberFormat="1" applyFill="1" applyBorder="1" applyProtection="1"/>
    <xf numFmtId="8" fontId="33" fillId="6" borderId="35" xfId="7" applyNumberFormat="1" applyFill="1" applyBorder="1" applyProtection="1"/>
    <xf numFmtId="8" fontId="33" fillId="0" borderId="8" xfId="7" applyNumberFormat="1" applyBorder="1" applyProtection="1"/>
    <xf numFmtId="8" fontId="33" fillId="6" borderId="36" xfId="7" applyNumberFormat="1" applyFill="1" applyBorder="1" applyProtection="1"/>
    <xf numFmtId="8" fontId="33" fillId="0" borderId="16" xfId="7" applyNumberFormat="1" applyProtection="1"/>
    <xf numFmtId="0" fontId="5" fillId="0" borderId="0" xfId="8" applyFill="1" applyBorder="1" applyAlignment="1" applyProtection="1">
      <alignment horizontal="left"/>
    </xf>
    <xf numFmtId="0" fontId="38" fillId="0" borderId="0" xfId="0" applyFont="1" applyFill="1" applyBorder="1" applyAlignment="1" applyProtection="1">
      <alignment horizontal="right"/>
    </xf>
    <xf numFmtId="0" fontId="37" fillId="0" borderId="0" xfId="0" applyFont="1" applyFill="1" applyBorder="1" applyAlignment="1" applyProtection="1">
      <alignment horizontal="right"/>
    </xf>
    <xf numFmtId="0" fontId="15" fillId="0" borderId="0" xfId="0" applyFont="1" applyFill="1" applyBorder="1" applyAlignment="1" applyProtection="1">
      <alignment horizontal="center" wrapText="1"/>
    </xf>
    <xf numFmtId="0" fontId="14" fillId="0" borderId="0" xfId="0" applyFont="1" applyFill="1" applyBorder="1" applyAlignment="1" applyProtection="1">
      <alignment horizontal="center"/>
    </xf>
    <xf numFmtId="0" fontId="14" fillId="0" borderId="0" xfId="0" applyFont="1" applyFill="1" applyBorder="1" applyAlignment="1" applyProtection="1">
      <alignment horizontal="center" wrapText="1"/>
    </xf>
    <xf numFmtId="0" fontId="7" fillId="0" borderId="1" xfId="0" applyFont="1" applyFill="1" applyBorder="1" applyAlignment="1" applyProtection="1">
      <alignment horizontal="left"/>
    </xf>
    <xf numFmtId="0" fontId="13" fillId="0" borderId="0" xfId="0" applyFont="1" applyBorder="1" applyAlignment="1" applyProtection="1"/>
    <xf numFmtId="0" fontId="6" fillId="0" borderId="0" xfId="0" applyFont="1" applyFill="1" applyBorder="1" applyAlignment="1" applyProtection="1">
      <alignment horizontal="center" wrapText="1"/>
    </xf>
    <xf numFmtId="0" fontId="13" fillId="0" borderId="0" xfId="0" applyFont="1" applyFill="1" applyBorder="1" applyAlignment="1" applyProtection="1">
      <alignment horizontal="center" wrapText="1"/>
    </xf>
    <xf numFmtId="166" fontId="4" fillId="0" borderId="0" xfId="9" applyNumberFormat="1"/>
    <xf numFmtId="0" fontId="4" fillId="0" borderId="0" xfId="9"/>
    <xf numFmtId="166" fontId="4" fillId="0" borderId="0" xfId="9" applyNumberFormat="1"/>
    <xf numFmtId="0" fontId="20" fillId="8" borderId="0" xfId="0" applyFont="1" applyFill="1" applyAlignment="1" applyProtection="1"/>
    <xf numFmtId="9" fontId="15" fillId="0" borderId="0" xfId="4" applyFont="1" applyFill="1" applyBorder="1" applyProtection="1"/>
    <xf numFmtId="0" fontId="3" fillId="5" borderId="0" xfId="8" applyFont="1" applyBorder="1" applyAlignment="1" applyProtection="1">
      <alignment horizontal="left"/>
    </xf>
    <xf numFmtId="44" fontId="13" fillId="6" borderId="0" xfId="2" applyFont="1" applyFill="1" applyBorder="1" applyAlignment="1" applyProtection="1">
      <alignment horizontal="right"/>
    </xf>
    <xf numFmtId="0" fontId="13" fillId="0" borderId="1" xfId="0" applyFont="1" applyFill="1" applyBorder="1" applyProtection="1"/>
    <xf numFmtId="43" fontId="33" fillId="0" borderId="1" xfId="7" applyNumberFormat="1" applyBorder="1" applyProtection="1"/>
    <xf numFmtId="8" fontId="33" fillId="0" borderId="1" xfId="7" applyNumberFormat="1" applyBorder="1" applyProtection="1"/>
    <xf numFmtId="8" fontId="5" fillId="5" borderId="0" xfId="8" applyNumberFormat="1" applyBorder="1" applyAlignment="1" applyProtection="1">
      <alignment horizontal="right" vertical="top"/>
    </xf>
    <xf numFmtId="0" fontId="16" fillId="0" borderId="1" xfId="0" applyFont="1" applyFill="1" applyBorder="1" applyAlignment="1" applyProtection="1">
      <alignment vertical="top"/>
    </xf>
    <xf numFmtId="0" fontId="42" fillId="0" borderId="0" xfId="0" applyFont="1" applyFill="1" applyBorder="1" applyAlignment="1" applyProtection="1">
      <alignment horizontal="center"/>
    </xf>
    <xf numFmtId="9" fontId="41" fillId="8" borderId="0" xfId="4" applyNumberFormat="1" applyFont="1" applyFill="1" applyBorder="1" applyAlignment="1" applyProtection="1">
      <alignment horizontal="center"/>
    </xf>
    <xf numFmtId="0" fontId="5" fillId="8" borderId="0" xfId="8" applyFont="1" applyFill="1" applyBorder="1" applyAlignment="1" applyProtection="1">
      <alignment horizontal="left"/>
    </xf>
    <xf numFmtId="9" fontId="5" fillId="5" borderId="0" xfId="4" applyFont="1" applyFill="1" applyBorder="1" applyAlignment="1" applyProtection="1">
      <alignment horizontal="right"/>
      <protection locked="0"/>
    </xf>
    <xf numFmtId="0" fontId="5" fillId="5" borderId="2" xfId="8" applyFont="1" applyBorder="1" applyAlignment="1" applyProtection="1">
      <alignment horizontal="left" wrapText="1"/>
      <protection locked="0"/>
    </xf>
    <xf numFmtId="0" fontId="0" fillId="0" borderId="0" xfId="0" applyAlignment="1">
      <alignment wrapText="1"/>
    </xf>
    <xf numFmtId="0" fontId="7" fillId="0" borderId="0" xfId="0" applyFont="1" applyAlignment="1">
      <alignment wrapText="1"/>
    </xf>
    <xf numFmtId="49" fontId="7" fillId="0" borderId="0" xfId="0" applyNumberFormat="1" applyFont="1" applyAlignment="1">
      <alignment wrapText="1"/>
    </xf>
    <xf numFmtId="0" fontId="43" fillId="0" borderId="0" xfId="0" applyFont="1" applyBorder="1" applyAlignment="1" applyProtection="1">
      <alignment horizontal="left"/>
    </xf>
    <xf numFmtId="169" fontId="5" fillId="5" borderId="0" xfId="8" applyNumberFormat="1" applyFont="1" applyBorder="1" applyAlignment="1" applyProtection="1">
      <alignment horizontal="center"/>
      <protection locked="0"/>
    </xf>
    <xf numFmtId="169" fontId="5" fillId="5" borderId="2" xfId="8" applyNumberFormat="1" applyFont="1" applyBorder="1" applyAlignment="1" applyProtection="1">
      <alignment horizontal="center"/>
      <protection locked="0"/>
    </xf>
    <xf numFmtId="14" fontId="0" fillId="0" borderId="0" xfId="0" applyNumberFormat="1"/>
    <xf numFmtId="164" fontId="6" fillId="0" borderId="0" xfId="1" applyNumberFormat="1" applyFont="1" applyFill="1" applyBorder="1" applyProtection="1"/>
    <xf numFmtId="171" fontId="5" fillId="5" borderId="0" xfId="8" applyNumberFormat="1" applyFont="1" applyBorder="1" applyAlignment="1" applyProtection="1">
      <alignment horizontal="center"/>
      <protection locked="0"/>
    </xf>
    <xf numFmtId="171" fontId="5" fillId="5" borderId="2" xfId="8" applyNumberFormat="1" applyFont="1" applyBorder="1" applyAlignment="1" applyProtection="1">
      <alignment horizontal="center"/>
      <protection locked="0"/>
    </xf>
    <xf numFmtId="0" fontId="13" fillId="6" borderId="2" xfId="0" applyFont="1" applyFill="1" applyBorder="1" applyAlignment="1" applyProtection="1">
      <alignment horizontal="center" wrapText="1"/>
    </xf>
    <xf numFmtId="0" fontId="13" fillId="0" borderId="1" xfId="0" applyFont="1" applyBorder="1" applyAlignment="1" applyProtection="1">
      <alignment horizontal="left"/>
    </xf>
    <xf numFmtId="0" fontId="13" fillId="0" borderId="0" xfId="0" applyFont="1" applyBorder="1" applyAlignment="1" applyProtection="1">
      <alignment horizontal="left"/>
    </xf>
    <xf numFmtId="14" fontId="6" fillId="0" borderId="0" xfId="0" applyNumberFormat="1" applyFont="1" applyFill="1" applyBorder="1" applyAlignment="1" applyProtection="1">
      <alignment horizontal="left"/>
    </xf>
    <xf numFmtId="0" fontId="31" fillId="0" borderId="24" xfId="5" applyBorder="1" applyAlignment="1" applyProtection="1">
      <alignment horizontal="left"/>
    </xf>
    <xf numFmtId="8" fontId="38" fillId="6" borderId="0" xfId="0" applyNumberFormat="1" applyFont="1" applyFill="1" applyBorder="1" applyAlignment="1" applyProtection="1">
      <alignment horizontal="center"/>
    </xf>
    <xf numFmtId="8" fontId="38" fillId="6" borderId="2" xfId="0" applyNumberFormat="1" applyFont="1" applyFill="1" applyBorder="1" applyAlignment="1" applyProtection="1">
      <alignment horizontal="center"/>
    </xf>
    <xf numFmtId="3" fontId="38" fillId="6" borderId="0" xfId="0" applyNumberFormat="1" applyFont="1" applyFill="1" applyBorder="1" applyAlignment="1" applyProtection="1">
      <alignment horizontal="center"/>
    </xf>
    <xf numFmtId="3" fontId="38" fillId="6" borderId="2" xfId="0" applyNumberFormat="1" applyFont="1" applyFill="1" applyBorder="1" applyAlignment="1" applyProtection="1">
      <alignment horizontal="center"/>
    </xf>
    <xf numFmtId="0" fontId="13" fillId="6" borderId="0" xfId="0" applyFont="1" applyFill="1" applyBorder="1" applyProtection="1"/>
    <xf numFmtId="0" fontId="13" fillId="6" borderId="2" xfId="0" applyFont="1" applyFill="1" applyBorder="1" applyProtection="1"/>
    <xf numFmtId="167" fontId="15" fillId="6" borderId="0" xfId="0" applyNumberFormat="1" applyFont="1" applyFill="1" applyBorder="1" applyAlignment="1" applyProtection="1">
      <alignment horizontal="center"/>
    </xf>
    <xf numFmtId="167" fontId="15" fillId="0" borderId="0" xfId="0" applyNumberFormat="1" applyFont="1" applyFill="1" applyBorder="1" applyAlignment="1" applyProtection="1">
      <alignment horizontal="center"/>
    </xf>
    <xf numFmtId="167" fontId="15" fillId="6" borderId="2" xfId="0" applyNumberFormat="1" applyFont="1" applyFill="1" applyBorder="1" applyAlignment="1" applyProtection="1">
      <alignment horizontal="center"/>
    </xf>
    <xf numFmtId="3" fontId="15" fillId="6" borderId="0" xfId="0" applyNumberFormat="1" applyFont="1" applyFill="1" applyBorder="1" applyAlignment="1" applyProtection="1">
      <alignment horizontal="right"/>
    </xf>
    <xf numFmtId="3" fontId="15" fillId="0" borderId="0" xfId="0" applyNumberFormat="1" applyFont="1" applyFill="1" applyBorder="1" applyAlignment="1" applyProtection="1">
      <alignment horizontal="right"/>
    </xf>
    <xf numFmtId="3" fontId="37" fillId="0" borderId="0" xfId="0" applyNumberFormat="1" applyFont="1" applyFill="1" applyBorder="1" applyAlignment="1" applyProtection="1">
      <alignment horizontal="right"/>
    </xf>
    <xf numFmtId="9" fontId="34" fillId="6" borderId="0" xfId="0" applyNumberFormat="1" applyFont="1" applyFill="1" applyBorder="1" applyAlignment="1" applyProtection="1">
      <alignment horizontal="right"/>
    </xf>
    <xf numFmtId="9" fontId="34" fillId="6" borderId="2" xfId="0" applyNumberFormat="1" applyFont="1" applyFill="1" applyBorder="1" applyAlignment="1" applyProtection="1">
      <alignment horizontal="right"/>
    </xf>
    <xf numFmtId="3" fontId="34" fillId="6" borderId="0" xfId="0" applyNumberFormat="1" applyFont="1" applyFill="1" applyBorder="1" applyAlignment="1" applyProtection="1">
      <alignment horizontal="right"/>
    </xf>
    <xf numFmtId="3" fontId="34" fillId="0" borderId="0" xfId="0" applyNumberFormat="1" applyFont="1" applyFill="1" applyBorder="1" applyAlignment="1" applyProtection="1">
      <alignment horizontal="right"/>
    </xf>
    <xf numFmtId="3" fontId="34" fillId="6" borderId="2" xfId="0" applyNumberFormat="1" applyFont="1" applyFill="1" applyBorder="1" applyAlignment="1" applyProtection="1">
      <alignment horizontal="right"/>
    </xf>
    <xf numFmtId="0" fontId="0" fillId="6" borderId="1" xfId="0" applyFill="1" applyBorder="1" applyAlignment="1" applyProtection="1">
      <alignment horizontal="right"/>
    </xf>
    <xf numFmtId="0" fontId="0" fillId="0" borderId="0" xfId="0" applyFill="1" applyBorder="1" applyAlignment="1" applyProtection="1">
      <alignment horizontal="right"/>
    </xf>
    <xf numFmtId="0" fontId="0" fillId="6" borderId="0" xfId="0" applyFill="1" applyBorder="1" applyAlignment="1" applyProtection="1">
      <alignment horizontal="right"/>
    </xf>
    <xf numFmtId="0" fontId="0" fillId="0" borderId="0" xfId="0" applyBorder="1" applyAlignment="1" applyProtection="1">
      <alignment horizontal="right"/>
    </xf>
    <xf numFmtId="0" fontId="0" fillId="6" borderId="2" xfId="0" applyFill="1" applyBorder="1" applyAlignment="1" applyProtection="1">
      <alignment horizontal="right"/>
    </xf>
    <xf numFmtId="8" fontId="15" fillId="6" borderId="1" xfId="0" applyNumberFormat="1" applyFont="1" applyFill="1" applyBorder="1" applyAlignment="1" applyProtection="1">
      <alignment horizontal="right"/>
    </xf>
    <xf numFmtId="8" fontId="15" fillId="0" borderId="0" xfId="0" applyNumberFormat="1" applyFont="1" applyFill="1" applyBorder="1" applyAlignment="1" applyProtection="1">
      <alignment horizontal="right"/>
    </xf>
    <xf numFmtId="8" fontId="15" fillId="6" borderId="0" xfId="0" applyNumberFormat="1" applyFont="1" applyFill="1" applyBorder="1" applyAlignment="1" applyProtection="1">
      <alignment horizontal="right"/>
    </xf>
    <xf numFmtId="8" fontId="15" fillId="0" borderId="0" xfId="0" applyNumberFormat="1" applyFont="1" applyBorder="1" applyAlignment="1" applyProtection="1">
      <alignment horizontal="right"/>
    </xf>
    <xf numFmtId="8" fontId="15" fillId="6" borderId="2" xfId="0" applyNumberFormat="1" applyFont="1" applyFill="1" applyBorder="1" applyAlignment="1" applyProtection="1">
      <alignment horizontal="right"/>
    </xf>
    <xf numFmtId="165" fontId="6" fillId="6" borderId="1" xfId="0" applyNumberFormat="1" applyFont="1" applyFill="1" applyBorder="1" applyAlignment="1" applyProtection="1">
      <alignment horizontal="center"/>
    </xf>
    <xf numFmtId="165" fontId="6" fillId="0" borderId="0" xfId="0" applyNumberFormat="1" applyFont="1" applyFill="1" applyBorder="1" applyAlignment="1" applyProtection="1">
      <alignment horizontal="center"/>
    </xf>
    <xf numFmtId="165" fontId="6" fillId="6" borderId="0" xfId="0" applyNumberFormat="1" applyFont="1" applyFill="1" applyBorder="1" applyAlignment="1" applyProtection="1">
      <alignment horizontal="center"/>
    </xf>
    <xf numFmtId="165" fontId="6" fillId="0" borderId="0" xfId="0" applyNumberFormat="1" applyFont="1" applyBorder="1" applyAlignment="1" applyProtection="1">
      <alignment horizontal="center"/>
    </xf>
    <xf numFmtId="165" fontId="6" fillId="6" borderId="2" xfId="0" applyNumberFormat="1" applyFont="1" applyFill="1" applyBorder="1" applyAlignment="1" applyProtection="1">
      <alignment horizontal="center"/>
    </xf>
    <xf numFmtId="8" fontId="6" fillId="6" borderId="1" xfId="0" applyNumberFormat="1" applyFont="1" applyFill="1" applyBorder="1" applyAlignment="1" applyProtection="1">
      <alignment horizontal="center"/>
    </xf>
    <xf numFmtId="8" fontId="6" fillId="0" borderId="0" xfId="0" applyNumberFormat="1" applyFont="1" applyFill="1" applyBorder="1" applyAlignment="1" applyProtection="1">
      <alignment horizontal="right"/>
    </xf>
    <xf numFmtId="8" fontId="6" fillId="6" borderId="0" xfId="0" applyNumberFormat="1" applyFont="1" applyFill="1" applyBorder="1" applyAlignment="1" applyProtection="1">
      <alignment horizontal="right"/>
    </xf>
    <xf numFmtId="8" fontId="6" fillId="0" borderId="0" xfId="0" applyNumberFormat="1" applyFont="1" applyBorder="1" applyAlignment="1" applyProtection="1">
      <alignment horizontal="right"/>
    </xf>
    <xf numFmtId="8" fontId="6" fillId="6" borderId="2" xfId="0" applyNumberFormat="1" applyFont="1" applyFill="1" applyBorder="1" applyAlignment="1" applyProtection="1">
      <alignment horizontal="right"/>
    </xf>
    <xf numFmtId="0" fontId="13" fillId="6" borderId="1" xfId="0" applyFont="1" applyFill="1" applyBorder="1" applyAlignment="1" applyProtection="1">
      <alignment horizontal="right"/>
    </xf>
    <xf numFmtId="0" fontId="13" fillId="6" borderId="0" xfId="0" applyFont="1" applyFill="1" applyBorder="1" applyAlignment="1" applyProtection="1">
      <alignment horizontal="right"/>
    </xf>
    <xf numFmtId="0" fontId="13" fillId="0" borderId="0" xfId="0" applyFont="1" applyBorder="1" applyAlignment="1" applyProtection="1">
      <alignment horizontal="right"/>
    </xf>
    <xf numFmtId="0" fontId="13" fillId="6" borderId="2" xfId="0" applyFont="1" applyFill="1" applyBorder="1" applyAlignment="1" applyProtection="1">
      <alignment horizontal="right"/>
    </xf>
    <xf numFmtId="0" fontId="35" fillId="7" borderId="0" xfId="0" applyFont="1" applyFill="1" applyBorder="1" applyAlignment="1" applyProtection="1"/>
    <xf numFmtId="0" fontId="35" fillId="7" borderId="37" xfId="0" applyFont="1" applyFill="1" applyBorder="1" applyAlignment="1" applyProtection="1"/>
    <xf numFmtId="0" fontId="44" fillId="7" borderId="37" xfId="0" applyFont="1" applyFill="1" applyBorder="1" applyAlignment="1" applyProtection="1"/>
    <xf numFmtId="0" fontId="8" fillId="7" borderId="38" xfId="0" applyFont="1" applyFill="1" applyBorder="1" applyProtection="1"/>
    <xf numFmtId="0" fontId="35" fillId="0" borderId="0" xfId="0" applyFont="1" applyFill="1" applyBorder="1" applyAlignment="1" applyProtection="1"/>
    <xf numFmtId="0" fontId="8" fillId="0" borderId="0" xfId="0" applyFont="1" applyFill="1" applyProtection="1"/>
    <xf numFmtId="0" fontId="39" fillId="6" borderId="0" xfId="0" applyFont="1" applyFill="1" applyAlignment="1" applyProtection="1"/>
    <xf numFmtId="0" fontId="18" fillId="6" borderId="0" xfId="0" applyFont="1" applyFill="1" applyAlignment="1" applyProtection="1"/>
    <xf numFmtId="0" fontId="18" fillId="0" borderId="0" xfId="0" applyFont="1" applyFill="1" applyAlignment="1" applyProtection="1"/>
    <xf numFmtId="0" fontId="7" fillId="0" borderId="0" xfId="0" applyFont="1" applyAlignment="1" applyProtection="1"/>
    <xf numFmtId="0" fontId="7" fillId="0" borderId="0" xfId="0" applyFont="1" applyFill="1" applyAlignment="1" applyProtection="1"/>
    <xf numFmtId="0" fontId="8" fillId="0" borderId="0" xfId="0" applyFont="1" applyAlignment="1" applyProtection="1"/>
    <xf numFmtId="0" fontId="8" fillId="0" borderId="0" xfId="0" applyFont="1" applyBorder="1" applyAlignment="1" applyProtection="1"/>
    <xf numFmtId="0" fontId="8" fillId="0" borderId="0" xfId="0" applyFont="1" applyFill="1" applyBorder="1" applyAlignment="1" applyProtection="1"/>
    <xf numFmtId="0" fontId="8" fillId="0" borderId="0" xfId="0" applyFont="1" applyBorder="1" applyProtection="1"/>
    <xf numFmtId="0" fontId="8" fillId="0" borderId="0" xfId="0" applyFont="1" applyProtection="1"/>
    <xf numFmtId="0" fontId="5" fillId="5" borderId="0" xfId="8" applyBorder="1" applyAlignment="1" applyProtection="1"/>
    <xf numFmtId="0" fontId="8" fillId="0" borderId="0" xfId="0" applyFont="1" applyFill="1" applyAlignment="1" applyProtection="1"/>
    <xf numFmtId="3" fontId="15" fillId="0" borderId="0" xfId="0" applyNumberFormat="1" applyFont="1" applyFill="1" applyBorder="1" applyProtection="1"/>
    <xf numFmtId="0" fontId="0" fillId="0" borderId="0" xfId="0" applyBorder="1" applyProtection="1"/>
    <xf numFmtId="0" fontId="0" fillId="0" borderId="0" xfId="0" applyProtection="1"/>
    <xf numFmtId="0" fontId="28" fillId="0" borderId="0" xfId="0" applyFont="1" applyProtection="1"/>
    <xf numFmtId="0" fontId="5" fillId="0" borderId="0" xfId="8" applyFill="1" applyBorder="1" applyAlignment="1" applyProtection="1"/>
    <xf numFmtId="0" fontId="0" fillId="7" borderId="38" xfId="0" applyFill="1" applyBorder="1" applyProtection="1"/>
    <xf numFmtId="0" fontId="0" fillId="0" borderId="0" xfId="0" applyFill="1" applyProtection="1"/>
    <xf numFmtId="0" fontId="15" fillId="0" borderId="0" xfId="0" applyFont="1" applyFill="1" applyBorder="1" applyAlignment="1" applyProtection="1"/>
    <xf numFmtId="0" fontId="0" fillId="0" borderId="0" xfId="0" applyBorder="1" applyAlignment="1" applyProtection="1"/>
    <xf numFmtId="0" fontId="0" fillId="0" borderId="0" xfId="0" applyFill="1" applyBorder="1" applyProtection="1"/>
    <xf numFmtId="0" fontId="31" fillId="0" borderId="23" xfId="5" applyBorder="1" applyProtection="1"/>
    <xf numFmtId="0" fontId="11" fillId="0" borderId="10" xfId="0" applyFont="1" applyBorder="1" applyProtection="1"/>
    <xf numFmtId="0" fontId="38" fillId="0" borderId="10" xfId="0" applyFont="1" applyFill="1" applyBorder="1" applyProtection="1"/>
    <xf numFmtId="0" fontId="11" fillId="0" borderId="0" xfId="0" applyFont="1" applyProtection="1"/>
    <xf numFmtId="8" fontId="5" fillId="5" borderId="0" xfId="8" applyNumberFormat="1" applyFont="1" applyBorder="1" applyAlignment="1" applyProtection="1">
      <alignment horizontal="center"/>
    </xf>
    <xf numFmtId="8" fontId="38" fillId="0" borderId="0" xfId="2" applyNumberFormat="1" applyFont="1" applyFill="1" applyBorder="1" applyAlignment="1" applyProtection="1">
      <alignment horizontal="center"/>
    </xf>
    <xf numFmtId="0" fontId="6" fillId="0" borderId="1" xfId="0" applyFont="1" applyBorder="1" applyProtection="1"/>
    <xf numFmtId="0" fontId="38" fillId="0" borderId="0" xfId="0" applyFont="1" applyFill="1" applyBorder="1" applyProtection="1"/>
    <xf numFmtId="0" fontId="31" fillId="0" borderId="24" xfId="5" applyBorder="1" applyProtection="1"/>
    <xf numFmtId="0" fontId="38" fillId="0" borderId="0" xfId="0" applyFont="1" applyBorder="1" applyAlignment="1" applyProtection="1">
      <alignment horizontal="center"/>
    </xf>
    <xf numFmtId="0" fontId="38" fillId="0" borderId="0" xfId="0" applyFont="1" applyFill="1" applyBorder="1" applyAlignment="1" applyProtection="1">
      <alignment horizontal="center"/>
    </xf>
    <xf numFmtId="0" fontId="38" fillId="0" borderId="2" xfId="0" applyFont="1" applyBorder="1" applyAlignment="1" applyProtection="1">
      <alignment horizontal="center"/>
    </xf>
    <xf numFmtId="16" fontId="6" fillId="0" borderId="0" xfId="0" applyNumberFormat="1" applyFont="1" applyProtection="1"/>
    <xf numFmtId="0" fontId="5" fillId="5" borderId="0" xfId="8" applyFont="1" applyBorder="1" applyAlignment="1" applyProtection="1">
      <alignment horizontal="center"/>
    </xf>
    <xf numFmtId="16" fontId="13" fillId="0" borderId="0" xfId="0" applyNumberFormat="1" applyFont="1" applyProtection="1"/>
    <xf numFmtId="169" fontId="38" fillId="0" borderId="0" xfId="0" applyNumberFormat="1" applyFont="1" applyFill="1" applyBorder="1" applyAlignment="1" applyProtection="1">
      <alignment horizontal="center"/>
    </xf>
    <xf numFmtId="0" fontId="0" fillId="0" borderId="0" xfId="0" applyBorder="1" applyAlignment="1" applyProtection="1">
      <alignment horizontal="center"/>
    </xf>
    <xf numFmtId="0" fontId="6" fillId="0" borderId="0" xfId="0" quotePrefix="1" applyFont="1" applyProtection="1"/>
    <xf numFmtId="0" fontId="38" fillId="0" borderId="0" xfId="0" applyFont="1" applyFill="1" applyBorder="1" applyAlignment="1" applyProtection="1"/>
    <xf numFmtId="0" fontId="37" fillId="0" borderId="0" xfId="0" applyFont="1" applyBorder="1" applyProtection="1"/>
    <xf numFmtId="9" fontId="5" fillId="5" borderId="0" xfId="8" applyNumberFormat="1" applyFont="1" applyBorder="1" applyAlignment="1" applyProtection="1">
      <alignment horizontal="center"/>
    </xf>
    <xf numFmtId="9" fontId="38" fillId="0" borderId="0" xfId="4" applyFont="1" applyFill="1" applyBorder="1" applyAlignment="1" applyProtection="1">
      <alignment horizontal="center"/>
    </xf>
    <xf numFmtId="9" fontId="5" fillId="5" borderId="2" xfId="8" applyNumberFormat="1" applyFont="1" applyBorder="1" applyAlignment="1" applyProtection="1">
      <alignment horizontal="center"/>
    </xf>
    <xf numFmtId="9" fontId="0" fillId="0" borderId="0" xfId="0" applyNumberFormat="1" applyBorder="1" applyProtection="1"/>
    <xf numFmtId="0" fontId="0" fillId="0" borderId="1" xfId="0" applyBorder="1" applyProtection="1"/>
    <xf numFmtId="0" fontId="0" fillId="0" borderId="2" xfId="0" applyBorder="1" applyProtection="1"/>
    <xf numFmtId="0" fontId="15" fillId="0" borderId="2" xfId="0" applyFont="1" applyBorder="1" applyProtection="1"/>
    <xf numFmtId="168" fontId="15" fillId="0" borderId="0" xfId="0" applyNumberFormat="1" applyFont="1" applyProtection="1"/>
    <xf numFmtId="0" fontId="6" fillId="7" borderId="38" xfId="0" applyFont="1" applyFill="1" applyBorder="1" applyProtection="1"/>
    <xf numFmtId="0" fontId="6" fillId="0" borderId="0" xfId="0" applyFont="1" applyFill="1" applyProtection="1"/>
    <xf numFmtId="0" fontId="7" fillId="0" borderId="1" xfId="0" applyFont="1" applyBorder="1" applyProtection="1"/>
    <xf numFmtId="0" fontId="6" fillId="0" borderId="2" xfId="0" applyFont="1" applyBorder="1" applyProtection="1"/>
    <xf numFmtId="8" fontId="5" fillId="5" borderId="11" xfId="8" applyNumberFormat="1" applyBorder="1" applyAlignment="1" applyProtection="1">
      <alignment horizontal="right" vertical="top"/>
    </xf>
    <xf numFmtId="0" fontId="5" fillId="0" borderId="20" xfId="8" applyFill="1" applyBorder="1" applyAlignment="1" applyProtection="1"/>
    <xf numFmtId="8" fontId="5" fillId="0" borderId="11" xfId="8" applyNumberFormat="1" applyFill="1" applyBorder="1" applyAlignment="1" applyProtection="1">
      <alignment horizontal="right" vertical="top"/>
    </xf>
    <xf numFmtId="0" fontId="5" fillId="5" borderId="17" xfId="8" applyBorder="1" applyAlignment="1" applyProtection="1"/>
    <xf numFmtId="43" fontId="13" fillId="0" borderId="0" xfId="1" applyFont="1" applyFill="1" applyBorder="1" applyAlignment="1" applyProtection="1">
      <alignment horizontal="right"/>
    </xf>
    <xf numFmtId="8" fontId="5" fillId="5" borderId="21" xfId="8" applyNumberFormat="1" applyBorder="1" applyAlignment="1" applyProtection="1">
      <alignment horizontal="right"/>
    </xf>
    <xf numFmtId="8" fontId="5" fillId="5" borderId="22" xfId="8" applyNumberFormat="1" applyBorder="1" applyAlignment="1" applyProtection="1">
      <alignment horizontal="right"/>
    </xf>
    <xf numFmtId="43" fontId="5" fillId="5" borderId="17" xfId="8" applyNumberFormat="1" applyBorder="1" applyAlignment="1" applyProtection="1">
      <alignment horizontal="right"/>
    </xf>
    <xf numFmtId="0" fontId="7" fillId="0" borderId="0" xfId="0" applyFont="1" applyFill="1" applyBorder="1" applyAlignment="1" applyProtection="1">
      <alignment horizontal="center"/>
    </xf>
    <xf numFmtId="44" fontId="5" fillId="0" borderId="17" xfId="8" applyNumberFormat="1" applyFill="1" applyBorder="1" applyAlignment="1" applyProtection="1">
      <alignment horizontal="right"/>
    </xf>
    <xf numFmtId="0" fontId="13" fillId="0" borderId="0" xfId="0" applyFont="1" applyFill="1" applyProtection="1"/>
    <xf numFmtId="16" fontId="13" fillId="0" borderId="0" xfId="0" applyNumberFormat="1" applyFont="1" applyFill="1" applyProtection="1"/>
    <xf numFmtId="8" fontId="5" fillId="5" borderId="0" xfId="8" applyNumberFormat="1" applyBorder="1" applyAlignment="1" applyProtection="1">
      <alignment horizontal="center" vertical="top"/>
    </xf>
    <xf numFmtId="8" fontId="5" fillId="0" borderId="0" xfId="8" applyNumberFormat="1" applyFill="1" applyBorder="1" applyAlignment="1" applyProtection="1">
      <alignment horizontal="center" vertical="top"/>
    </xf>
    <xf numFmtId="0" fontId="6" fillId="7" borderId="38" xfId="0" applyFont="1" applyFill="1" applyBorder="1" applyAlignment="1" applyProtection="1">
      <alignment vertical="top"/>
    </xf>
    <xf numFmtId="0" fontId="6" fillId="0" borderId="0" xfId="0" applyFont="1" applyAlignment="1" applyProtection="1">
      <alignment vertical="top"/>
    </xf>
    <xf numFmtId="0" fontId="17" fillId="0" borderId="0" xfId="0" applyFont="1" applyBorder="1" applyAlignment="1" applyProtection="1">
      <alignment vertical="top"/>
    </xf>
    <xf numFmtId="0" fontId="17" fillId="0" borderId="0" xfId="0" applyFont="1" applyFill="1" applyBorder="1" applyAlignment="1" applyProtection="1">
      <alignment vertical="top"/>
    </xf>
    <xf numFmtId="0" fontId="17" fillId="0" borderId="2" xfId="0" applyFont="1" applyBorder="1" applyAlignment="1" applyProtection="1">
      <alignment vertical="top"/>
    </xf>
    <xf numFmtId="8" fontId="5" fillId="5" borderId="0" xfId="8" applyNumberFormat="1" applyBorder="1" applyAlignment="1" applyProtection="1">
      <alignment horizontal="right"/>
    </xf>
    <xf numFmtId="8" fontId="5" fillId="5" borderId="2" xfId="8" applyNumberFormat="1" applyBorder="1" applyAlignment="1" applyProtection="1">
      <alignment horizontal="right" vertical="top"/>
    </xf>
    <xf numFmtId="0" fontId="17" fillId="0" borderId="0" xfId="0" applyFont="1" applyAlignment="1" applyProtection="1">
      <alignment vertical="top"/>
    </xf>
    <xf numFmtId="8" fontId="0" fillId="7" borderId="38" xfId="0" applyNumberFormat="1" applyFill="1" applyBorder="1" applyProtection="1"/>
    <xf numFmtId="8" fontId="0" fillId="0" borderId="0" xfId="0" applyNumberFormat="1" applyProtection="1"/>
    <xf numFmtId="8" fontId="33" fillId="0" borderId="16" xfId="7" applyNumberFormat="1" applyBorder="1" applyAlignment="1" applyProtection="1">
      <alignment vertical="top"/>
    </xf>
    <xf numFmtId="8" fontId="33" fillId="0" borderId="16" xfId="7" applyNumberFormat="1" applyFill="1" applyBorder="1" applyAlignment="1" applyProtection="1">
      <alignment vertical="top"/>
    </xf>
    <xf numFmtId="8" fontId="33" fillId="0" borderId="16" xfId="7" applyNumberFormat="1" applyBorder="1" applyProtection="1"/>
    <xf numFmtId="8" fontId="33" fillId="0" borderId="16" xfId="7" applyNumberFormat="1" applyFill="1" applyBorder="1" applyProtection="1"/>
    <xf numFmtId="8" fontId="33" fillId="0" borderId="30" xfId="7" applyNumberFormat="1" applyBorder="1" applyProtection="1"/>
    <xf numFmtId="8" fontId="13" fillId="0" borderId="0" xfId="0" applyNumberFormat="1" applyFont="1" applyProtection="1"/>
    <xf numFmtId="0" fontId="6" fillId="0" borderId="1" xfId="0" applyFont="1" applyBorder="1" applyAlignment="1" applyProtection="1">
      <alignment vertical="top"/>
    </xf>
    <xf numFmtId="8" fontId="17" fillId="6" borderId="0" xfId="0" applyNumberFormat="1" applyFont="1" applyFill="1" applyBorder="1" applyAlignment="1" applyProtection="1">
      <alignment vertical="top"/>
    </xf>
    <xf numFmtId="8" fontId="17" fillId="0" borderId="0" xfId="0" applyNumberFormat="1" applyFont="1" applyBorder="1" applyAlignment="1" applyProtection="1">
      <alignment vertical="top"/>
    </xf>
    <xf numFmtId="8" fontId="17" fillId="6" borderId="2" xfId="0" applyNumberFormat="1" applyFont="1" applyFill="1" applyBorder="1" applyAlignment="1" applyProtection="1">
      <alignment vertical="top"/>
    </xf>
    <xf numFmtId="0" fontId="17" fillId="0" borderId="0" xfId="0" applyFont="1" applyProtection="1"/>
    <xf numFmtId="0" fontId="11" fillId="0" borderId="0" xfId="0" applyFont="1" applyFill="1" applyProtection="1"/>
    <xf numFmtId="0" fontId="7" fillId="0" borderId="0" xfId="0" applyFont="1" applyProtection="1"/>
    <xf numFmtId="0" fontId="7" fillId="0" borderId="0" xfId="0" applyFont="1" applyFill="1" applyBorder="1" applyProtection="1"/>
    <xf numFmtId="8" fontId="6" fillId="0" borderId="0" xfId="0" applyNumberFormat="1" applyFont="1" applyProtection="1"/>
    <xf numFmtId="8" fontId="6" fillId="0" borderId="0" xfId="0" applyNumberFormat="1" applyFont="1" applyFill="1" applyBorder="1" applyProtection="1"/>
    <xf numFmtId="8" fontId="6" fillId="0" borderId="0" xfId="0" applyNumberFormat="1" applyFont="1" applyBorder="1" applyProtection="1"/>
    <xf numFmtId="0" fontId="0" fillId="4" borderId="0" xfId="0" applyFill="1" applyProtection="1"/>
    <xf numFmtId="0" fontId="11" fillId="4" borderId="0" xfId="0" applyFont="1" applyFill="1" applyProtection="1"/>
    <xf numFmtId="0" fontId="6" fillId="4" borderId="0" xfId="0" applyFont="1" applyFill="1" applyProtection="1"/>
    <xf numFmtId="0" fontId="6" fillId="4" borderId="0" xfId="0" applyFont="1" applyFill="1" applyBorder="1" applyProtection="1"/>
    <xf numFmtId="0" fontId="0" fillId="4" borderId="0" xfId="0" applyFill="1" applyBorder="1" applyProtection="1"/>
    <xf numFmtId="16" fontId="13" fillId="4" borderId="0" xfId="0" applyNumberFormat="1" applyFont="1" applyFill="1" applyProtection="1"/>
    <xf numFmtId="0" fontId="13" fillId="4" borderId="0" xfId="0" applyFont="1" applyFill="1" applyProtection="1"/>
    <xf numFmtId="0" fontId="15" fillId="3" borderId="0" xfId="0" applyFont="1" applyFill="1" applyProtection="1"/>
    <xf numFmtId="0" fontId="28" fillId="3" borderId="0" xfId="0" applyFont="1" applyFill="1" applyProtection="1"/>
    <xf numFmtId="0" fontId="30" fillId="0" borderId="0" xfId="0" applyFont="1" applyProtection="1"/>
    <xf numFmtId="0" fontId="21" fillId="0" borderId="0" xfId="0" applyFont="1" applyFill="1" applyBorder="1" applyProtection="1"/>
    <xf numFmtId="9" fontId="0" fillId="0" borderId="0" xfId="4" applyFont="1" applyProtection="1"/>
    <xf numFmtId="2" fontId="0" fillId="0" borderId="0" xfId="0" applyNumberFormat="1" applyProtection="1"/>
    <xf numFmtId="0" fontId="6" fillId="8" borderId="0" xfId="0" applyFont="1" applyFill="1" applyProtection="1"/>
    <xf numFmtId="0" fontId="20" fillId="8" borderId="0" xfId="0" applyFont="1" applyFill="1" applyProtection="1"/>
    <xf numFmtId="0" fontId="23" fillId="0" borderId="0" xfId="0" applyFont="1" applyFill="1" applyBorder="1" applyAlignment="1" applyProtection="1">
      <alignment horizontal="left"/>
    </xf>
    <xf numFmtId="0" fontId="22" fillId="0" borderId="0" xfId="0" applyFont="1" applyFill="1" applyBorder="1" applyProtection="1"/>
    <xf numFmtId="0" fontId="6" fillId="8" borderId="0" xfId="0" quotePrefix="1" applyFont="1" applyFill="1" applyAlignment="1" applyProtection="1">
      <alignment horizontal="left"/>
    </xf>
    <xf numFmtId="3" fontId="0" fillId="0" borderId="0" xfId="4" applyNumberFormat="1" applyFont="1" applyProtection="1"/>
    <xf numFmtId="0" fontId="7" fillId="8" borderId="0" xfId="0" applyFont="1" applyFill="1" applyProtection="1"/>
    <xf numFmtId="0" fontId="0" fillId="0" borderId="0" xfId="0" quotePrefix="1" applyAlignment="1" applyProtection="1">
      <alignment horizontal="left"/>
    </xf>
    <xf numFmtId="0" fontId="6" fillId="8" borderId="0" xfId="0" applyFont="1" applyFill="1" applyBorder="1" applyAlignment="1" applyProtection="1">
      <alignment horizontal="right"/>
    </xf>
    <xf numFmtId="0" fontId="6" fillId="8" borderId="0" xfId="0" applyFont="1" applyFill="1" applyBorder="1" applyProtection="1"/>
    <xf numFmtId="16" fontId="0" fillId="0" borderId="0" xfId="0" applyNumberFormat="1" applyFill="1" applyBorder="1" applyProtection="1"/>
    <xf numFmtId="0" fontId="6" fillId="8" borderId="0" xfId="0" applyFont="1" applyFill="1" applyBorder="1" applyAlignment="1" applyProtection="1">
      <alignment horizontal="center"/>
    </xf>
    <xf numFmtId="8" fontId="0" fillId="0" borderId="0" xfId="0" applyNumberFormat="1" applyFill="1" applyBorder="1" applyProtection="1"/>
    <xf numFmtId="8" fontId="0" fillId="0" borderId="0" xfId="0" applyNumberFormat="1" applyBorder="1" applyProtection="1"/>
    <xf numFmtId="0" fontId="0" fillId="0" borderId="2" xfId="0" applyFill="1" applyBorder="1" applyProtection="1"/>
    <xf numFmtId="0" fontId="0" fillId="0" borderId="5" xfId="0" applyBorder="1" applyProtection="1"/>
    <xf numFmtId="0" fontId="8" fillId="0" borderId="10" xfId="0" applyFont="1" applyBorder="1" applyProtection="1"/>
    <xf numFmtId="0" fontId="8" fillId="0" borderId="4" xfId="0" applyFont="1" applyBorder="1" applyProtection="1"/>
    <xf numFmtId="0" fontId="15" fillId="7" borderId="38" xfId="0" applyFont="1" applyFill="1" applyBorder="1" applyProtection="1"/>
    <xf numFmtId="0" fontId="11" fillId="0" borderId="0" xfId="0" applyFont="1" applyAlignment="1" applyProtection="1">
      <alignment horizontal="right"/>
    </xf>
    <xf numFmtId="16" fontId="15" fillId="0" borderId="0" xfId="0" applyNumberFormat="1" applyFont="1" applyFill="1" applyBorder="1" applyProtection="1"/>
    <xf numFmtId="0" fontId="28" fillId="0" borderId="0" xfId="0" applyFont="1" applyFill="1" applyBorder="1" applyProtection="1"/>
    <xf numFmtId="16" fontId="0" fillId="0" borderId="0" xfId="0" applyNumberFormat="1" applyProtection="1"/>
    <xf numFmtId="9" fontId="0" fillId="0" borderId="0" xfId="0" applyNumberFormat="1" applyProtection="1"/>
    <xf numFmtId="9" fontId="15" fillId="0" borderId="0" xfId="0" applyNumberFormat="1" applyFont="1" applyProtection="1"/>
    <xf numFmtId="0" fontId="20" fillId="0" borderId="1" xfId="0" applyFont="1" applyBorder="1" applyProtection="1"/>
    <xf numFmtId="44" fontId="0" fillId="0" borderId="0" xfId="2" applyFont="1" applyBorder="1" applyProtection="1"/>
    <xf numFmtId="44" fontId="0" fillId="0" borderId="2" xfId="2" applyFont="1" applyBorder="1" applyProtection="1"/>
    <xf numFmtId="0" fontId="25" fillId="0" borderId="1" xfId="0" applyFont="1" applyBorder="1" applyProtection="1"/>
    <xf numFmtId="165" fontId="13" fillId="0" borderId="0" xfId="1" applyNumberFormat="1" applyFont="1" applyFill="1" applyBorder="1" applyAlignment="1" applyProtection="1"/>
    <xf numFmtId="0" fontId="20" fillId="0" borderId="1" xfId="0" applyFont="1" applyBorder="1" applyAlignment="1" applyProtection="1">
      <alignment horizontal="left" wrapText="1"/>
    </xf>
    <xf numFmtId="0" fontId="7" fillId="0" borderId="0" xfId="0" applyFont="1" applyBorder="1" applyAlignment="1" applyProtection="1">
      <alignment horizontal="center"/>
    </xf>
    <xf numFmtId="0" fontId="7" fillId="0" borderId="2" xfId="0" applyFont="1" applyBorder="1" applyAlignment="1" applyProtection="1">
      <alignment horizontal="center"/>
    </xf>
    <xf numFmtId="0" fontId="6" fillId="0" borderId="0" xfId="0" applyFont="1" applyFill="1" applyBorder="1" applyAlignment="1" applyProtection="1"/>
    <xf numFmtId="0" fontId="20" fillId="0" borderId="6" xfId="0" applyFont="1" applyBorder="1" applyAlignment="1" applyProtection="1">
      <alignment horizontal="left" wrapText="1"/>
    </xf>
    <xf numFmtId="44" fontId="0" fillId="9" borderId="8" xfId="2" applyFont="1" applyFill="1" applyBorder="1" applyProtection="1"/>
    <xf numFmtId="0" fontId="14" fillId="0" borderId="0" xfId="0" applyFont="1" applyFill="1" applyBorder="1" applyAlignment="1" applyProtection="1">
      <alignment horizontal="right"/>
    </xf>
    <xf numFmtId="0" fontId="15" fillId="0" borderId="0" xfId="0" applyFont="1" applyFill="1" applyBorder="1" applyAlignment="1" applyProtection="1">
      <alignment horizontal="right"/>
    </xf>
    <xf numFmtId="16" fontId="6" fillId="0" borderId="0" xfId="0" applyNumberFormat="1" applyFont="1" applyBorder="1" applyAlignment="1" applyProtection="1">
      <alignment horizontal="left"/>
    </xf>
    <xf numFmtId="1" fontId="0" fillId="0" borderId="0" xfId="0" applyNumberFormat="1" applyBorder="1" applyAlignment="1" applyProtection="1">
      <alignment horizontal="left"/>
    </xf>
    <xf numFmtId="1" fontId="0" fillId="0" borderId="0" xfId="0" applyNumberFormat="1" applyBorder="1" applyProtection="1"/>
    <xf numFmtId="0" fontId="7" fillId="0" borderId="5" xfId="0" applyFont="1" applyBorder="1" applyProtection="1"/>
    <xf numFmtId="0" fontId="0" fillId="0" borderId="10" xfId="0" applyBorder="1" applyProtection="1"/>
    <xf numFmtId="0" fontId="0" fillId="0" borderId="4" xfId="0" applyBorder="1" applyProtection="1"/>
    <xf numFmtId="0" fontId="7" fillId="0" borderId="2" xfId="0" applyFont="1" applyBorder="1" applyProtection="1"/>
    <xf numFmtId="16" fontId="0" fillId="0" borderId="0" xfId="0" applyNumberFormat="1" applyBorder="1" applyAlignment="1" applyProtection="1">
      <alignment horizontal="left"/>
    </xf>
    <xf numFmtId="167" fontId="0" fillId="0" borderId="2" xfId="0" applyNumberFormat="1" applyBorder="1" applyAlignment="1" applyProtection="1">
      <alignment horizontal="left"/>
    </xf>
    <xf numFmtId="16" fontId="6" fillId="0" borderId="1" xfId="0" applyNumberFormat="1" applyFont="1" applyBorder="1" applyAlignment="1" applyProtection="1">
      <alignment horizontal="left"/>
    </xf>
    <xf numFmtId="1" fontId="0" fillId="0" borderId="2" xfId="0" applyNumberFormat="1" applyBorder="1" applyAlignment="1" applyProtection="1">
      <alignment horizontal="left"/>
    </xf>
    <xf numFmtId="0" fontId="6" fillId="0" borderId="6" xfId="0" applyFont="1" applyFill="1" applyBorder="1" applyProtection="1"/>
    <xf numFmtId="16" fontId="0" fillId="0" borderId="8" xfId="0" applyNumberFormat="1" applyBorder="1" applyAlignment="1" applyProtection="1">
      <alignment horizontal="left"/>
    </xf>
    <xf numFmtId="16" fontId="0" fillId="0" borderId="3" xfId="0" applyNumberFormat="1" applyBorder="1" applyAlignment="1" applyProtection="1">
      <alignment horizontal="left"/>
    </xf>
    <xf numFmtId="16" fontId="6" fillId="0" borderId="10" xfId="0" applyNumberFormat="1" applyFont="1" applyBorder="1" applyAlignment="1" applyProtection="1">
      <alignment horizontal="left"/>
    </xf>
    <xf numFmtId="1" fontId="0" fillId="0" borderId="10" xfId="0" applyNumberFormat="1" applyBorder="1" applyAlignment="1" applyProtection="1">
      <alignment horizontal="left"/>
    </xf>
    <xf numFmtId="1" fontId="0" fillId="0" borderId="10" xfId="0" applyNumberFormat="1" applyBorder="1" applyProtection="1"/>
    <xf numFmtId="16" fontId="0" fillId="0" borderId="0" xfId="0" applyNumberFormat="1" applyBorder="1" applyProtection="1"/>
    <xf numFmtId="16" fontId="6" fillId="0" borderId="0" xfId="0" applyNumberFormat="1" applyFont="1" applyBorder="1" applyProtection="1"/>
    <xf numFmtId="14" fontId="49" fillId="0" borderId="0" xfId="10" applyNumberFormat="1" applyFont="1" applyProtection="1"/>
    <xf numFmtId="164" fontId="15" fillId="0" borderId="0" xfId="0" applyNumberFormat="1" applyFont="1" applyFill="1" applyBorder="1" applyProtection="1"/>
    <xf numFmtId="14" fontId="15" fillId="0" borderId="0" xfId="0" applyNumberFormat="1" applyFont="1" applyFill="1" applyBorder="1" applyAlignment="1" applyProtection="1">
      <alignment horizontal="right"/>
    </xf>
    <xf numFmtId="0" fontId="7" fillId="0" borderId="0" xfId="0" applyFont="1" applyFill="1" applyBorder="1" applyAlignment="1" applyProtection="1">
      <alignment horizontal="left"/>
    </xf>
    <xf numFmtId="16" fontId="6" fillId="0" borderId="0" xfId="0" applyNumberFormat="1" applyFont="1" applyFill="1" applyBorder="1" applyProtection="1"/>
    <xf numFmtId="0" fontId="49" fillId="0" borderId="0" xfId="11" applyFont="1" applyFill="1" applyBorder="1" applyAlignment="1" applyProtection="1"/>
    <xf numFmtId="0" fontId="49" fillId="0" borderId="8" xfId="11" applyFont="1" applyFill="1" applyBorder="1" applyAlignment="1" applyProtection="1"/>
    <xf numFmtId="170" fontId="0" fillId="0" borderId="0" xfId="0" applyNumberFormat="1" applyProtection="1"/>
    <xf numFmtId="0" fontId="5" fillId="5" borderId="17" xfId="8" applyBorder="1" applyAlignment="1" applyProtection="1">
      <alignment horizontal="right"/>
      <protection locked="0"/>
    </xf>
    <xf numFmtId="8" fontId="5" fillId="5" borderId="18" xfId="8" applyNumberFormat="1" applyBorder="1" applyAlignment="1" applyProtection="1">
      <alignment horizontal="right"/>
      <protection locked="0"/>
    </xf>
    <xf numFmtId="0" fontId="5" fillId="5" borderId="17" xfId="8" applyBorder="1" applyAlignment="1" applyProtection="1">
      <protection locked="0"/>
    </xf>
    <xf numFmtId="44" fontId="5" fillId="5" borderId="17" xfId="8" applyNumberFormat="1" applyBorder="1" applyAlignment="1" applyProtection="1">
      <alignment horizontal="right"/>
      <protection locked="0"/>
    </xf>
    <xf numFmtId="8" fontId="5" fillId="5" borderId="1" xfId="8" applyNumberFormat="1" applyBorder="1" applyAlignment="1" applyProtection="1">
      <alignment horizontal="right" vertical="top"/>
      <protection locked="0"/>
    </xf>
    <xf numFmtId="8" fontId="5" fillId="5" borderId="21" xfId="8" applyNumberFormat="1" applyBorder="1" applyAlignment="1" applyProtection="1">
      <alignment horizontal="right"/>
      <protection locked="0"/>
    </xf>
    <xf numFmtId="8" fontId="5" fillId="5" borderId="0" xfId="8" applyNumberFormat="1" applyBorder="1" applyAlignment="1" applyProtection="1">
      <alignment horizontal="right"/>
      <protection locked="0"/>
    </xf>
    <xf numFmtId="0" fontId="41" fillId="0" borderId="2" xfId="0" applyFont="1" applyBorder="1" applyAlignment="1" applyProtection="1">
      <alignment horizontal="center"/>
    </xf>
    <xf numFmtId="16" fontId="38" fillId="0" borderId="0" xfId="0" applyNumberFormat="1" applyFont="1" applyFill="1" applyBorder="1" applyAlignment="1" applyProtection="1">
      <alignment horizontal="center"/>
    </xf>
    <xf numFmtId="0" fontId="0" fillId="0" borderId="0" xfId="0" applyAlignment="1" applyProtection="1">
      <alignment horizontal="center"/>
    </xf>
    <xf numFmtId="0" fontId="37" fillId="0" borderId="0" xfId="0" applyFont="1" applyProtection="1"/>
    <xf numFmtId="0" fontId="5" fillId="5" borderId="0" xfId="8" applyFont="1" applyBorder="1" applyAlignment="1" applyProtection="1">
      <alignment horizontal="right"/>
    </xf>
    <xf numFmtId="9" fontId="0" fillId="0" borderId="0" xfId="0" applyNumberFormat="1" applyFill="1" applyProtection="1"/>
    <xf numFmtId="9" fontId="0" fillId="0" borderId="0" xfId="0" applyNumberFormat="1" applyFill="1" applyBorder="1" applyProtection="1"/>
    <xf numFmtId="8" fontId="15" fillId="0" borderId="0" xfId="0" applyNumberFormat="1" applyFont="1" applyBorder="1" applyProtection="1"/>
    <xf numFmtId="165" fontId="6" fillId="0" borderId="0" xfId="0" applyNumberFormat="1" applyFont="1" applyAlignment="1" applyProtection="1">
      <alignment horizontal="center"/>
    </xf>
    <xf numFmtId="43" fontId="6" fillId="0" borderId="0" xfId="0" applyNumberFormat="1" applyFont="1" applyBorder="1" applyProtection="1"/>
    <xf numFmtId="8" fontId="5" fillId="5" borderId="17" xfId="8" applyNumberFormat="1" applyBorder="1" applyAlignment="1" applyProtection="1"/>
    <xf numFmtId="8" fontId="5" fillId="0" borderId="17" xfId="8" applyNumberFormat="1" applyFill="1" applyBorder="1" applyAlignment="1" applyProtection="1">
      <alignment horizontal="right"/>
    </xf>
    <xf numFmtId="8" fontId="5" fillId="5" borderId="28" xfId="8" applyNumberFormat="1" applyBorder="1" applyAlignment="1" applyProtection="1">
      <alignment horizontal="right" vertical="top"/>
    </xf>
    <xf numFmtId="8" fontId="6" fillId="0" borderId="0" xfId="0" applyNumberFormat="1" applyFont="1" applyFill="1" applyProtection="1"/>
    <xf numFmtId="8" fontId="0" fillId="0" borderId="0" xfId="0" applyNumberFormat="1" applyFill="1" applyProtection="1"/>
    <xf numFmtId="16" fontId="15" fillId="8" borderId="0" xfId="0" applyNumberFormat="1" applyFont="1" applyFill="1" applyBorder="1" applyProtection="1"/>
    <xf numFmtId="0" fontId="0" fillId="0" borderId="0" xfId="0" applyAlignment="1" applyProtection="1"/>
    <xf numFmtId="0" fontId="15" fillId="2" borderId="7" xfId="0" applyFont="1" applyFill="1" applyBorder="1" applyAlignment="1" applyProtection="1"/>
    <xf numFmtId="8" fontId="0" fillId="9" borderId="8" xfId="2" applyNumberFormat="1" applyFont="1" applyFill="1" applyBorder="1" applyProtection="1"/>
    <xf numFmtId="8" fontId="0" fillId="9" borderId="3" xfId="2" applyNumberFormat="1" applyFont="1" applyFill="1" applyBorder="1" applyProtection="1"/>
    <xf numFmtId="0" fontId="40" fillId="0" borderId="0" xfId="0" applyFont="1" applyFill="1" applyBorder="1" applyAlignment="1" applyProtection="1">
      <alignment horizontal="left"/>
    </xf>
    <xf numFmtId="9" fontId="6" fillId="0" borderId="0" xfId="0" applyNumberFormat="1" applyFont="1" applyProtection="1"/>
    <xf numFmtId="16" fontId="8" fillId="0" borderId="0" xfId="0" applyNumberFormat="1" applyFont="1" applyFill="1" applyBorder="1" applyProtection="1"/>
    <xf numFmtId="44" fontId="15" fillId="0" borderId="0" xfId="0" applyNumberFormat="1" applyFont="1" applyFill="1" applyBorder="1" applyProtection="1"/>
    <xf numFmtId="16" fontId="0" fillId="8" borderId="0" xfId="0" applyNumberFormat="1" applyFill="1" applyBorder="1" applyProtection="1"/>
    <xf numFmtId="8" fontId="5" fillId="5" borderId="17" xfId="8" applyNumberFormat="1" applyBorder="1" applyAlignment="1" applyProtection="1">
      <protection locked="0"/>
    </xf>
    <xf numFmtId="16" fontId="5" fillId="5" borderId="0" xfId="8" applyNumberFormat="1" applyFont="1" applyBorder="1" applyAlignment="1" applyProtection="1">
      <alignment horizontal="center"/>
    </xf>
    <xf numFmtId="8" fontId="5" fillId="0" borderId="20" xfId="8" applyNumberFormat="1" applyFill="1" applyBorder="1" applyAlignment="1" applyProtection="1"/>
    <xf numFmtId="14" fontId="0" fillId="0" borderId="8" xfId="0" applyNumberFormat="1" applyBorder="1" applyAlignment="1" applyProtection="1">
      <alignment horizontal="left"/>
    </xf>
    <xf numFmtId="14" fontId="0" fillId="0" borderId="3" xfId="0" applyNumberFormat="1" applyBorder="1" applyAlignment="1" applyProtection="1">
      <alignment horizontal="left"/>
    </xf>
    <xf numFmtId="9" fontId="8" fillId="0" borderId="0" xfId="0" applyNumberFormat="1" applyFont="1" applyProtection="1"/>
    <xf numFmtId="16" fontId="0" fillId="0" borderId="8" xfId="0" applyNumberFormat="1" applyBorder="1" applyProtection="1"/>
    <xf numFmtId="16" fontId="49" fillId="0" borderId="0" xfId="10" applyNumberFormat="1" applyFont="1" applyProtection="1"/>
    <xf numFmtId="0" fontId="35" fillId="7" borderId="45" xfId="0" applyFont="1" applyFill="1" applyBorder="1" applyAlignment="1" applyProtection="1"/>
    <xf numFmtId="0" fontId="35" fillId="8" borderId="0" xfId="0" applyFont="1" applyFill="1" applyBorder="1" applyAlignment="1" applyProtection="1"/>
    <xf numFmtId="0" fontId="35" fillId="8" borderId="44" xfId="0" applyFont="1" applyFill="1" applyBorder="1" applyAlignment="1" applyProtection="1"/>
    <xf numFmtId="0" fontId="45" fillId="8" borderId="0" xfId="0" applyFont="1" applyFill="1" applyBorder="1" applyAlignment="1" applyProtection="1">
      <alignment vertical="center" wrapText="1"/>
    </xf>
    <xf numFmtId="0" fontId="0" fillId="8" borderId="0" xfId="0" applyFill="1" applyProtection="1"/>
    <xf numFmtId="0" fontId="8" fillId="8" borderId="0" xfId="0" applyFont="1" applyFill="1" applyProtection="1"/>
    <xf numFmtId="0" fontId="0" fillId="8" borderId="0" xfId="0" applyFill="1" applyBorder="1" applyProtection="1"/>
    <xf numFmtId="0" fontId="6" fillId="8" borderId="0" xfId="0" applyFont="1" applyFill="1" applyAlignment="1" applyProtection="1">
      <alignment wrapText="1"/>
    </xf>
    <xf numFmtId="0" fontId="0" fillId="8" borderId="12" xfId="0" applyFill="1" applyBorder="1" applyProtection="1"/>
    <xf numFmtId="0" fontId="6" fillId="8" borderId="17" xfId="0" applyFont="1" applyFill="1" applyBorder="1" applyAlignment="1" applyProtection="1">
      <alignment horizontal="center"/>
    </xf>
    <xf numFmtId="0" fontId="0" fillId="8" borderId="42" xfId="0" applyFill="1" applyBorder="1" applyAlignment="1" applyProtection="1">
      <alignment horizontal="center"/>
    </xf>
    <xf numFmtId="0" fontId="0" fillId="8" borderId="11" xfId="0" applyFill="1" applyBorder="1" applyAlignment="1" applyProtection="1">
      <alignment horizontal="center"/>
    </xf>
    <xf numFmtId="22" fontId="0" fillId="8" borderId="0" xfId="0" applyNumberFormat="1" applyFill="1" applyProtection="1"/>
    <xf numFmtId="0" fontId="6" fillId="8" borderId="0" xfId="0" applyFont="1" applyFill="1" applyAlignment="1" applyProtection="1">
      <alignment horizontal="left" wrapText="1"/>
    </xf>
    <xf numFmtId="0" fontId="6" fillId="8" borderId="0" xfId="0" applyFont="1" applyFill="1" applyAlignment="1" applyProtection="1">
      <alignment vertical="top" wrapText="1"/>
    </xf>
    <xf numFmtId="0" fontId="47" fillId="8" borderId="0" xfId="0" applyFont="1" applyFill="1" applyAlignment="1" applyProtection="1">
      <alignment wrapText="1"/>
    </xf>
    <xf numFmtId="0" fontId="46" fillId="8" borderId="0" xfId="0" applyFont="1" applyFill="1" applyAlignment="1" applyProtection="1">
      <alignment vertical="center"/>
    </xf>
    <xf numFmtId="0" fontId="0" fillId="8" borderId="39" xfId="0" applyFill="1" applyBorder="1" applyAlignment="1" applyProtection="1">
      <alignment horizontal="center"/>
      <protection locked="0"/>
    </xf>
    <xf numFmtId="8" fontId="0" fillId="10" borderId="43" xfId="0" applyNumberFormat="1" applyFill="1" applyBorder="1" applyAlignment="1" applyProtection="1">
      <alignment horizontal="center"/>
      <protection locked="0"/>
    </xf>
    <xf numFmtId="8" fontId="0" fillId="10" borderId="40" xfId="0" applyNumberFormat="1" applyFill="1" applyBorder="1" applyAlignment="1" applyProtection="1">
      <alignment horizontal="center"/>
      <protection locked="0"/>
    </xf>
    <xf numFmtId="0" fontId="1" fillId="5" borderId="0" xfId="8" applyFont="1" applyBorder="1" applyAlignment="1" applyProtection="1">
      <alignment horizontal="left"/>
    </xf>
    <xf numFmtId="14" fontId="0" fillId="0" borderId="2" xfId="0" applyNumberFormat="1" applyBorder="1" applyAlignment="1" applyProtection="1">
      <alignment horizontal="left"/>
    </xf>
    <xf numFmtId="14" fontId="0" fillId="0" borderId="0" xfId="0" applyNumberFormat="1" applyProtection="1"/>
    <xf numFmtId="14" fontId="0" fillId="0" borderId="0" xfId="0" applyNumberFormat="1" applyBorder="1" applyAlignment="1" applyProtection="1">
      <alignment horizontal="left"/>
    </xf>
    <xf numFmtId="0" fontId="45" fillId="0" borderId="0" xfId="0" applyFont="1" applyBorder="1" applyAlignment="1" applyProtection="1">
      <alignment horizontal="center" vertical="center" wrapText="1"/>
    </xf>
    <xf numFmtId="0" fontId="6" fillId="0" borderId="0" xfId="0" applyFont="1" applyAlignment="1" applyProtection="1">
      <alignment horizontal="left" vertical="top" wrapText="1"/>
    </xf>
    <xf numFmtId="0" fontId="48" fillId="8" borderId="10" xfId="0" applyFont="1" applyFill="1" applyBorder="1" applyAlignment="1" applyProtection="1">
      <alignment horizontal="center" vertical="top" wrapText="1"/>
    </xf>
    <xf numFmtId="0" fontId="48" fillId="8" borderId="0" xfId="0" applyFont="1" applyFill="1" applyAlignment="1" applyProtection="1">
      <alignment horizontal="center" vertical="top" wrapText="1"/>
    </xf>
    <xf numFmtId="0" fontId="46" fillId="8" borderId="0" xfId="0" applyFont="1" applyFill="1" applyAlignment="1" applyProtection="1">
      <alignment horizontal="left"/>
    </xf>
    <xf numFmtId="0" fontId="0" fillId="8" borderId="0" xfId="0" applyFill="1" applyAlignment="1" applyProtection="1">
      <alignment horizontal="left" wrapText="1"/>
    </xf>
    <xf numFmtId="0" fontId="6" fillId="0" borderId="0" xfId="0" applyFont="1" applyAlignment="1" applyProtection="1">
      <alignment horizontal="left" wrapText="1"/>
    </xf>
    <xf numFmtId="0" fontId="14" fillId="0" borderId="0" xfId="0" applyFont="1" applyAlignment="1" applyProtection="1">
      <alignment horizontal="left"/>
    </xf>
    <xf numFmtId="0" fontId="6" fillId="8" borderId="0" xfId="0" applyFont="1" applyFill="1" applyAlignment="1" applyProtection="1">
      <alignment horizontal="left" vertical="top" wrapText="1"/>
    </xf>
    <xf numFmtId="0" fontId="0" fillId="8" borderId="41" xfId="0" applyFill="1" applyBorder="1" applyAlignment="1" applyProtection="1">
      <alignment horizontal="center"/>
    </xf>
    <xf numFmtId="0" fontId="0" fillId="8" borderId="14" xfId="0" applyFill="1" applyBorder="1" applyAlignment="1" applyProtection="1">
      <alignment horizontal="center"/>
    </xf>
    <xf numFmtId="0" fontId="24" fillId="8" borderId="0" xfId="0" applyFont="1" applyFill="1" applyAlignment="1" applyProtection="1">
      <alignment horizontal="right"/>
    </xf>
    <xf numFmtId="0" fontId="47" fillId="0" borderId="0" xfId="0" applyFont="1" applyAlignment="1" applyProtection="1">
      <alignment horizontal="left" wrapText="1"/>
    </xf>
    <xf numFmtId="0" fontId="20" fillId="0" borderId="0" xfId="0" applyFont="1" applyAlignment="1" applyProtection="1">
      <alignment horizontal="left" wrapText="1"/>
    </xf>
    <xf numFmtId="0" fontId="13" fillId="0" borderId="1" xfId="0" applyFont="1" applyBorder="1" applyAlignment="1" applyProtection="1">
      <alignment horizontal="left"/>
    </xf>
    <xf numFmtId="0" fontId="13" fillId="0" borderId="0" xfId="0" applyFont="1" applyBorder="1" applyAlignment="1" applyProtection="1">
      <alignment horizontal="left"/>
    </xf>
    <xf numFmtId="0" fontId="13" fillId="0" borderId="2" xfId="0" applyFont="1" applyBorder="1" applyAlignment="1" applyProtection="1">
      <alignment horizontal="left"/>
    </xf>
    <xf numFmtId="14" fontId="6" fillId="0" borderId="0" xfId="0" applyNumberFormat="1" applyFont="1" applyFill="1" applyBorder="1" applyAlignment="1" applyProtection="1">
      <alignment horizontal="left"/>
    </xf>
    <xf numFmtId="0" fontId="7" fillId="0" borderId="0" xfId="0" applyFont="1" applyBorder="1" applyAlignment="1" applyProtection="1">
      <alignment horizontal="center"/>
    </xf>
    <xf numFmtId="0" fontId="7" fillId="0" borderId="2" xfId="0" applyFont="1" applyBorder="1" applyAlignment="1" applyProtection="1">
      <alignment horizontal="center"/>
    </xf>
    <xf numFmtId="0" fontId="31" fillId="0" borderId="24" xfId="5" applyBorder="1" applyAlignment="1" applyProtection="1">
      <alignment horizontal="left"/>
    </xf>
    <xf numFmtId="0" fontId="31" fillId="0" borderId="15" xfId="5" applyBorder="1" applyAlignment="1" applyProtection="1">
      <alignment horizontal="left"/>
    </xf>
    <xf numFmtId="0" fontId="5" fillId="5" borderId="0" xfId="8" applyFont="1" applyBorder="1" applyAlignment="1" applyProtection="1">
      <alignment horizontal="right" wrapText="1"/>
      <protection locked="0"/>
    </xf>
    <xf numFmtId="0" fontId="37" fillId="6" borderId="1" xfId="0" applyFont="1" applyFill="1" applyBorder="1" applyAlignment="1" applyProtection="1">
      <alignment horizontal="center" vertical="center" wrapText="1"/>
    </xf>
    <xf numFmtId="3" fontId="37" fillId="6" borderId="0" xfId="0" applyNumberFormat="1" applyFont="1" applyFill="1" applyBorder="1" applyAlignment="1" applyProtection="1">
      <alignment horizontal="center" vertical="center" wrapText="1"/>
    </xf>
    <xf numFmtId="3" fontId="37" fillId="6" borderId="2" xfId="0" applyNumberFormat="1" applyFont="1" applyFill="1" applyBorder="1" applyAlignment="1" applyProtection="1">
      <alignment horizontal="center" vertical="center" wrapText="1"/>
    </xf>
    <xf numFmtId="0" fontId="6" fillId="6" borderId="20" xfId="0" applyFont="1" applyFill="1" applyBorder="1" applyAlignment="1" applyProtection="1">
      <alignment horizontal="center" wrapText="1"/>
    </xf>
    <xf numFmtId="0" fontId="6" fillId="6" borderId="1" xfId="0" applyFont="1" applyFill="1" applyBorder="1" applyAlignment="1" applyProtection="1">
      <alignment horizontal="center" wrapText="1"/>
    </xf>
    <xf numFmtId="0" fontId="14" fillId="6" borderId="21" xfId="0" applyFont="1" applyFill="1" applyBorder="1" applyAlignment="1" applyProtection="1">
      <alignment horizontal="center" wrapText="1"/>
    </xf>
    <xf numFmtId="0" fontId="14" fillId="6" borderId="0" xfId="0" applyFont="1" applyFill="1" applyBorder="1" applyAlignment="1" applyProtection="1">
      <alignment horizontal="center" wrapText="1"/>
    </xf>
    <xf numFmtId="0" fontId="13" fillId="6" borderId="22" xfId="0" applyFont="1" applyFill="1" applyBorder="1" applyAlignment="1" applyProtection="1">
      <alignment horizontal="center" wrapText="1"/>
    </xf>
    <xf numFmtId="0" fontId="13" fillId="6" borderId="2" xfId="0" applyFont="1" applyFill="1" applyBorder="1" applyAlignment="1" applyProtection="1">
      <alignment horizontal="center" wrapText="1"/>
    </xf>
    <xf numFmtId="16" fontId="2" fillId="5" borderId="0" xfId="8" applyNumberFormat="1" applyFont="1" applyBorder="1" applyAlignment="1" applyProtection="1">
      <alignment horizontal="left"/>
      <protection locked="0"/>
    </xf>
    <xf numFmtId="16" fontId="5" fillId="5" borderId="0" xfId="8" applyNumberFormat="1" applyBorder="1" applyAlignment="1" applyProtection="1">
      <alignment horizontal="left"/>
      <protection locked="0"/>
    </xf>
    <xf numFmtId="0" fontId="24" fillId="0" borderId="12" xfId="0" applyFont="1" applyBorder="1" applyAlignment="1" applyProtection="1">
      <alignment horizontal="center"/>
    </xf>
    <xf numFmtId="0" fontId="24" fillId="0" borderId="13" xfId="0" applyFont="1" applyBorder="1" applyAlignment="1" applyProtection="1">
      <alignment horizontal="center"/>
    </xf>
    <xf numFmtId="0" fontId="24" fillId="0" borderId="14" xfId="0" applyFont="1" applyBorder="1" applyAlignment="1" applyProtection="1">
      <alignment horizontal="center"/>
    </xf>
    <xf numFmtId="0" fontId="6" fillId="0" borderId="17" xfId="0" applyFont="1" applyBorder="1" applyAlignment="1" applyProtection="1">
      <alignment horizontal="center" wrapText="1"/>
    </xf>
    <xf numFmtId="0" fontId="6" fillId="0" borderId="18" xfId="0" applyFont="1" applyBorder="1" applyAlignment="1" applyProtection="1">
      <alignment horizontal="center" wrapText="1"/>
    </xf>
    <xf numFmtId="0" fontId="6" fillId="0" borderId="11" xfId="0" applyFont="1" applyBorder="1" applyAlignment="1" applyProtection="1">
      <alignment horizontal="center" wrapText="1"/>
    </xf>
    <xf numFmtId="16" fontId="4" fillId="5" borderId="0" xfId="8" applyNumberFormat="1" applyFont="1" applyBorder="1" applyAlignment="1" applyProtection="1">
      <alignment horizontal="left"/>
      <protection locked="0"/>
    </xf>
    <xf numFmtId="0" fontId="6" fillId="6" borderId="1" xfId="0" applyFont="1" applyFill="1" applyBorder="1" applyAlignment="1" applyProtection="1">
      <alignment horizontal="center" vertical="center" wrapText="1"/>
    </xf>
    <xf numFmtId="0" fontId="6" fillId="6" borderId="1" xfId="0" applyFont="1" applyFill="1" applyBorder="1" applyAlignment="1" applyProtection="1">
      <alignment horizontal="center" vertical="top" wrapText="1"/>
    </xf>
    <xf numFmtId="16" fontId="1" fillId="5" borderId="0" xfId="8" applyNumberFormat="1" applyFont="1" applyBorder="1" applyAlignment="1" applyProtection="1">
      <alignment horizontal="left"/>
      <protection locked="0"/>
    </xf>
    <xf numFmtId="0" fontId="5" fillId="5" borderId="0" xfId="8" applyFont="1" applyBorder="1" applyAlignment="1" applyProtection="1">
      <alignment horizontal="right"/>
    </xf>
    <xf numFmtId="0" fontId="14" fillId="6" borderId="20" xfId="0" applyFont="1" applyFill="1" applyBorder="1" applyAlignment="1" applyProtection="1">
      <alignment horizontal="center" wrapText="1"/>
    </xf>
    <xf numFmtId="0" fontId="14" fillId="6" borderId="22" xfId="0" applyFont="1" applyFill="1" applyBorder="1" applyAlignment="1" applyProtection="1">
      <alignment horizontal="center" wrapText="1"/>
    </xf>
    <xf numFmtId="0" fontId="14" fillId="6" borderId="2" xfId="0" applyFont="1" applyFill="1" applyBorder="1" applyAlignment="1" applyProtection="1">
      <alignment horizontal="center" wrapText="1"/>
    </xf>
  </cellXfs>
  <cellStyles count="12">
    <cellStyle name="20% - Accent1" xfId="8" builtinId="30"/>
    <cellStyle name="Comma" xfId="1" builtinId="3"/>
    <cellStyle name="Currency" xfId="2" builtinId="4"/>
    <cellStyle name="Heading 2" xfId="5" builtinId="17"/>
    <cellStyle name="Heading 4" xfId="6" builtinId="19"/>
    <cellStyle name="Hyperlink" xfId="3" builtinId="8"/>
    <cellStyle name="Normal" xfId="0" builtinId="0"/>
    <cellStyle name="Normal 2" xfId="9"/>
    <cellStyle name="Normal 2 2" xfId="11"/>
    <cellStyle name="Normal 3" xfId="10"/>
    <cellStyle name="Percent" xfId="4" builtinId="5"/>
    <cellStyle name="Total" xfId="7" builtinId="25"/>
  </cellStyles>
  <dxfs count="113">
    <dxf>
      <font>
        <strike val="0"/>
        <color rgb="FFF2F2F2"/>
      </font>
    </dxf>
    <dxf>
      <numFmt numFmtId="35" formatCode="_(* #,##0.00_);_(* \(#,##0.00\);_(* &quot;-&quot;??_);_(@_)"/>
    </dxf>
    <dxf>
      <font>
        <strike val="0"/>
        <color theme="0"/>
      </font>
      <fill>
        <patternFill patternType="none">
          <bgColor auto="1"/>
        </patternFill>
      </fill>
    </dxf>
    <dxf>
      <font>
        <color theme="0" tint="-4.9989318521683403E-2"/>
      </font>
    </dxf>
    <dxf>
      <font>
        <strike val="0"/>
        <color rgb="FFF2F2F2"/>
      </font>
    </dxf>
    <dxf>
      <font>
        <strike val="0"/>
        <color rgb="FFF2F2F2"/>
      </font>
    </dxf>
    <dxf>
      <numFmt numFmtId="35" formatCode="_(* #,##0.00_);_(* \(#,##0.00\);_(* &quot;-&quot;??_);_(@_)"/>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numFmt numFmtId="35" formatCode="_(* #,##0.00_);_(* \(#,##0.00\);_(* &quot;-&quot;??_);_(@_)"/>
    </dxf>
    <dxf>
      <font>
        <strike val="0"/>
        <color rgb="FFF2F2F2"/>
      </font>
    </dxf>
    <dxf>
      <numFmt numFmtId="35" formatCode="_(* #,##0.00_);_(* \(#,##0.00\);_(* &quot;-&quot;??_);_(@_)"/>
    </dxf>
    <dxf>
      <font>
        <strike val="0"/>
        <color rgb="FFF2F2F2"/>
      </font>
    </dxf>
    <dxf>
      <numFmt numFmtId="35" formatCode="_(* #,##0.00_);_(* \(#,##0.00\);_(* &quot;-&quot;??_);_(@_)"/>
    </dxf>
    <dxf>
      <font>
        <strike val="0"/>
        <color rgb="FFF2F2F2"/>
      </font>
    </dxf>
    <dxf>
      <numFmt numFmtId="35" formatCode="_(* #,##0.00_);_(* \(#,##0.00\);_(* &quot;-&quot;??_);_(@_)"/>
    </dxf>
    <dxf>
      <font>
        <strike val="0"/>
        <color theme="0"/>
      </font>
      <fill>
        <patternFill patternType="none">
          <bgColor auto="1"/>
        </patternFill>
      </fill>
    </dxf>
    <dxf>
      <font>
        <strike val="0"/>
        <color theme="0" tint="-4.9989318521683403E-2"/>
      </font>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numFmt numFmtId="35" formatCode="_(* #,##0.00_);_(* \(#,##0.00\);_(* &quot;-&quot;??_);_(@_)"/>
    </dxf>
    <dxf>
      <font>
        <strike val="0"/>
        <color rgb="FFF2F2F2"/>
      </font>
    </dxf>
    <dxf>
      <font>
        <strike val="0"/>
        <color rgb="FFF2F2F2"/>
      </font>
    </dxf>
    <dxf>
      <numFmt numFmtId="35" formatCode="_(* #,##0.00_);_(* \(#,##0.00\);_(* &quot;-&quot;??_);_(@_)"/>
    </dxf>
    <dxf>
      <numFmt numFmtId="35" formatCode="_(* #,##0.00_);_(* \(#,##0.00\);_(* &quot;-&quot;??_);_(@_)"/>
    </dxf>
    <dxf>
      <font>
        <strike val="0"/>
        <color rgb="FFF2F2F2"/>
      </font>
    </dxf>
    <dxf>
      <font>
        <color theme="0"/>
      </font>
      <fill>
        <patternFill patternType="none">
          <bgColor auto="1"/>
        </patternFill>
      </fill>
    </dxf>
    <dxf>
      <font>
        <strike val="0"/>
        <color theme="0"/>
      </font>
      <fill>
        <patternFill patternType="none">
          <bgColor auto="1"/>
        </patternFill>
      </fill>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font>
        <strike val="0"/>
        <color rgb="FFF2F2F2"/>
      </font>
    </dxf>
    <dxf>
      <font>
        <strike val="0"/>
        <color rgb="FFF2F2F2"/>
      </font>
    </dxf>
    <dxf>
      <font>
        <strike val="0"/>
        <color rgb="FFF2F2F2"/>
      </font>
    </dxf>
    <dxf>
      <font>
        <strike val="0"/>
        <color rgb="FFF2F2F2"/>
      </font>
    </dxf>
    <dxf>
      <numFmt numFmtId="35" formatCode="_(* #,##0.00_);_(* \(#,##0.00\);_(* &quot;-&quot;??_);_(@_)"/>
    </dxf>
    <dxf>
      <numFmt numFmtId="35" formatCode="_(* #,##0.00_);_(* \(#,##0.00\);_(* &quot;-&quot;??_);_(@_)"/>
    </dxf>
    <dxf>
      <numFmt numFmtId="35" formatCode="_(* #,##0.00_);_(* \(#,##0.00\);_(* &quot;-&quot;??_);_(@_)"/>
    </dxf>
    <dxf>
      <font>
        <strike val="0"/>
        <color rgb="FFF2F2F2"/>
      </font>
    </dxf>
    <dxf>
      <font>
        <strike val="0"/>
        <color rgb="FFF2F2F2"/>
      </font>
    </dxf>
    <dxf>
      <numFmt numFmtId="35" formatCode="_(* #,##0.00_);_(* \(#,##0.00\);_(* &quot;-&quot;??_);_(@_)"/>
    </dxf>
    <dxf>
      <numFmt numFmtId="35" formatCode="_(* #,##0.00_);_(* \(#,##0.00\);_(* &quot;-&quot;??_);_(@_)"/>
    </dxf>
    <dxf>
      <font>
        <color theme="0"/>
      </font>
      <fill>
        <patternFill patternType="none">
          <bgColor auto="1"/>
        </patternFill>
      </fill>
    </dxf>
    <dxf>
      <font>
        <strike val="0"/>
        <color rgb="FFF2F2F2"/>
      </font>
    </dxf>
    <dxf>
      <font>
        <strike val="0"/>
        <color rgb="FFF2F2F2"/>
      </font>
    </dxf>
    <dxf>
      <font>
        <color theme="0"/>
      </font>
      <fill>
        <patternFill patternType="none">
          <bgColor auto="1"/>
        </patternFill>
      </fill>
    </dxf>
    <dxf>
      <font>
        <strike val="0"/>
        <color rgb="FFF2F2F2"/>
      </font>
    </dxf>
    <dxf>
      <font>
        <strike val="0"/>
        <color rgb="FFF2F2F2"/>
      </font>
    </dxf>
    <dxf>
      <numFmt numFmtId="35" formatCode="_(* #,##0.00_);_(* \(#,##0.00\);_(* &quot;-&quot;??_);_(@_)"/>
    </dxf>
    <dxf>
      <numFmt numFmtId="35" formatCode="_(* #,##0.00_);_(* \(#,##0.0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CCCC99"/>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990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9900"/>
      <color rgb="FFB9A45A"/>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Comparison of Options When Corn is Planted and Subsequently Damaged</a:t>
            </a:r>
          </a:p>
        </c:rich>
      </c:tx>
      <c:layout/>
      <c:overlay val="0"/>
    </c:title>
    <c:autoTitleDeleted val="0"/>
    <c:plotArea>
      <c:layout/>
      <c:barChart>
        <c:barDir val="col"/>
        <c:grouping val="clustered"/>
        <c:varyColors val="0"/>
        <c:ser>
          <c:idx val="3"/>
          <c:order val="0"/>
          <c:tx>
            <c:strRef>
              <c:f>'Corn Already Planted'!$BA$82</c:f>
              <c:strCache>
                <c:ptCount val="1"/>
                <c:pt idx="0">
                  <c:v>SB Initial Planting Date</c:v>
                </c:pt>
              </c:strCache>
            </c:strRef>
          </c:tx>
          <c:spPr>
            <a:solidFill>
              <a:schemeClr val="accent3">
                <a:lumMod val="50000"/>
              </a:schemeClr>
            </a:solidFill>
          </c:spPr>
          <c:invertIfNegative val="0"/>
          <c:cat>
            <c:numRef>
              <c:f>'Corn Already Planted'!$AU$84:$AU$205</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Already Planted'!$BA$84:$BA$205</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1000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0-5ED6-444E-9B0D-55D057D1EE9D}"/>
            </c:ext>
          </c:extLst>
        </c:ser>
        <c:ser>
          <c:idx val="2"/>
          <c:order val="1"/>
          <c:tx>
            <c:strRef>
              <c:f>'Corn Already Planted'!$AZ$82</c:f>
              <c:strCache>
                <c:ptCount val="1"/>
                <c:pt idx="0">
                  <c:v>Corn Initial Planting Date</c:v>
                </c:pt>
              </c:strCache>
            </c:strRef>
          </c:tx>
          <c:spPr>
            <a:solidFill>
              <a:schemeClr val="accent3">
                <a:lumMod val="60000"/>
                <a:lumOff val="40000"/>
              </a:schemeClr>
            </a:solidFill>
          </c:spPr>
          <c:invertIfNegative val="0"/>
          <c:cat>
            <c:numRef>
              <c:f>'Corn Already Planted'!$AU$84:$AU$205</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Already Planted'!$AZ$84:$AZ$205</c:f>
              <c:numCache>
                <c:formatCode>General</c:formatCode>
                <c:ptCount val="122"/>
                <c:pt idx="0">
                  <c:v>1000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1-5ED6-444E-9B0D-55D057D1EE9D}"/>
            </c:ext>
          </c:extLst>
        </c:ser>
        <c:ser>
          <c:idx val="4"/>
          <c:order val="2"/>
          <c:tx>
            <c:strRef>
              <c:f>'Corn Already Planted'!$BB$82</c:f>
              <c:strCache>
                <c:ptCount val="1"/>
                <c:pt idx="0">
                  <c:v>SB Late Planting Period</c:v>
                </c:pt>
              </c:strCache>
            </c:strRef>
          </c:tx>
          <c:spPr>
            <a:pattFill prst="diagBrick">
              <a:fgClr>
                <a:schemeClr val="tx2">
                  <a:lumMod val="40000"/>
                  <a:lumOff val="60000"/>
                </a:schemeClr>
              </a:fgClr>
              <a:bgClr>
                <a:schemeClr val="bg1"/>
              </a:bgClr>
            </a:pattFill>
          </c:spPr>
          <c:invertIfNegative val="0"/>
          <c:cat>
            <c:numRef>
              <c:f>'Corn Already Planted'!$AU$84:$AU$205</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Already Planted'!$BB$84:$BB$205</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1000</c:v>
                </c:pt>
                <c:pt idx="77">
                  <c:v>1000</c:v>
                </c:pt>
                <c:pt idx="78">
                  <c:v>1000</c:v>
                </c:pt>
                <c:pt idx="79">
                  <c:v>1000</c:v>
                </c:pt>
                <c:pt idx="80">
                  <c:v>1000</c:v>
                </c:pt>
                <c:pt idx="81">
                  <c:v>1000</c:v>
                </c:pt>
                <c:pt idx="82">
                  <c:v>1000</c:v>
                </c:pt>
                <c:pt idx="83">
                  <c:v>1000</c:v>
                </c:pt>
                <c:pt idx="84">
                  <c:v>1000</c:v>
                </c:pt>
                <c:pt idx="85">
                  <c:v>1000</c:v>
                </c:pt>
                <c:pt idx="86">
                  <c:v>1000</c:v>
                </c:pt>
                <c:pt idx="87">
                  <c:v>1000</c:v>
                </c:pt>
                <c:pt idx="88">
                  <c:v>1000</c:v>
                </c:pt>
                <c:pt idx="89">
                  <c:v>1000</c:v>
                </c:pt>
                <c:pt idx="90">
                  <c:v>1000</c:v>
                </c:pt>
                <c:pt idx="91">
                  <c:v>1000</c:v>
                </c:pt>
                <c:pt idx="92">
                  <c:v>1000</c:v>
                </c:pt>
                <c:pt idx="93">
                  <c:v>1000</c:v>
                </c:pt>
                <c:pt idx="94">
                  <c:v>1000</c:v>
                </c:pt>
                <c:pt idx="95">
                  <c:v>1000</c:v>
                </c:pt>
                <c:pt idx="96">
                  <c:v>1000</c:v>
                </c:pt>
                <c:pt idx="97">
                  <c:v>1000</c:v>
                </c:pt>
                <c:pt idx="98">
                  <c:v>1000</c:v>
                </c:pt>
                <c:pt idx="99">
                  <c:v>1000</c:v>
                </c:pt>
                <c:pt idx="100">
                  <c:v>1000</c:v>
                </c:pt>
                <c:pt idx="101">
                  <c:v>1000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2-5ED6-444E-9B0D-55D057D1EE9D}"/>
            </c:ext>
          </c:extLst>
        </c:ser>
        <c:ser>
          <c:idx val="6"/>
          <c:order val="5"/>
          <c:tx>
            <c:strRef>
              <c:f>'Corn Already Planted'!$AY$82</c:f>
              <c:strCache>
                <c:ptCount val="1"/>
                <c:pt idx="0">
                  <c:v>Corn Late Planting Period</c:v>
                </c:pt>
              </c:strCache>
            </c:strRef>
          </c:tx>
          <c:spPr>
            <a:pattFill prst="pct30">
              <a:fgClr>
                <a:srgbClr val="FFC000"/>
              </a:fgClr>
              <a:bgClr>
                <a:schemeClr val="bg1"/>
              </a:bgClr>
            </a:pattFill>
          </c:spPr>
          <c:invertIfNegative val="0"/>
          <c:val>
            <c:numRef>
              <c:f>'Corn Already Planted'!$AY$84:$AY$205</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1000</c:v>
                </c:pt>
                <c:pt idx="57">
                  <c:v>1000</c:v>
                </c:pt>
                <c:pt idx="58">
                  <c:v>1000</c:v>
                </c:pt>
                <c:pt idx="59">
                  <c:v>1000</c:v>
                </c:pt>
                <c:pt idx="60">
                  <c:v>1000</c:v>
                </c:pt>
                <c:pt idx="61">
                  <c:v>1000</c:v>
                </c:pt>
                <c:pt idx="62">
                  <c:v>1000</c:v>
                </c:pt>
                <c:pt idx="63">
                  <c:v>1000</c:v>
                </c:pt>
                <c:pt idx="64">
                  <c:v>1000</c:v>
                </c:pt>
                <c:pt idx="65">
                  <c:v>1000</c:v>
                </c:pt>
                <c:pt idx="66">
                  <c:v>1000</c:v>
                </c:pt>
                <c:pt idx="67">
                  <c:v>1000</c:v>
                </c:pt>
                <c:pt idx="68">
                  <c:v>1000</c:v>
                </c:pt>
                <c:pt idx="69">
                  <c:v>1000</c:v>
                </c:pt>
                <c:pt idx="70">
                  <c:v>1000</c:v>
                </c:pt>
                <c:pt idx="71">
                  <c:v>1000</c:v>
                </c:pt>
                <c:pt idx="72">
                  <c:v>1000</c:v>
                </c:pt>
                <c:pt idx="73">
                  <c:v>1000</c:v>
                </c:pt>
                <c:pt idx="74">
                  <c:v>1000</c:v>
                </c:pt>
                <c:pt idx="75">
                  <c:v>1000</c:v>
                </c:pt>
                <c:pt idx="76">
                  <c:v>1000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3-5ED6-444E-9B0D-55D057D1EE9D}"/>
            </c:ext>
          </c:extLst>
        </c:ser>
        <c:dLbls>
          <c:showLegendKey val="0"/>
          <c:showVal val="0"/>
          <c:showCatName val="0"/>
          <c:showSerName val="0"/>
          <c:showPercent val="0"/>
          <c:showBubbleSize val="0"/>
        </c:dLbls>
        <c:gapWidth val="0"/>
        <c:overlap val="100"/>
        <c:axId val="381583160"/>
        <c:axId val="381583552"/>
      </c:barChart>
      <c:lineChart>
        <c:grouping val="standard"/>
        <c:varyColors val="0"/>
        <c:ser>
          <c:idx val="1"/>
          <c:order val="3"/>
          <c:tx>
            <c:strRef>
              <c:f>'Corn Already Planted'!$AT$82</c:f>
              <c:strCache>
                <c:ptCount val="1"/>
                <c:pt idx="0">
                  <c:v>Harvest As Is</c:v>
                </c:pt>
              </c:strCache>
            </c:strRef>
          </c:tx>
          <c:spPr>
            <a:ln w="50800"/>
          </c:spPr>
          <c:marker>
            <c:symbol val="none"/>
          </c:marker>
          <c:val>
            <c:numRef>
              <c:f>'Corn Already Planted'!$AT$84:$AT$205</c:f>
              <c:numCache>
                <c:formatCode>"$"#,##0.00_);[Red]\("$"#,##0.00\)</c:formatCode>
                <c:ptCount val="122"/>
                <c:pt idx="0">
                  <c:v>505.5</c:v>
                </c:pt>
                <c:pt idx="1">
                  <c:v>505.5</c:v>
                </c:pt>
                <c:pt idx="2">
                  <c:v>505.5</c:v>
                </c:pt>
                <c:pt idx="3">
                  <c:v>505.5</c:v>
                </c:pt>
                <c:pt idx="4">
                  <c:v>505.5</c:v>
                </c:pt>
                <c:pt idx="5">
                  <c:v>505.5</c:v>
                </c:pt>
                <c:pt idx="6">
                  <c:v>505.5</c:v>
                </c:pt>
                <c:pt idx="7">
                  <c:v>505.5</c:v>
                </c:pt>
                <c:pt idx="8">
                  <c:v>505.5</c:v>
                </c:pt>
                <c:pt idx="9">
                  <c:v>505.5</c:v>
                </c:pt>
                <c:pt idx="10">
                  <c:v>505.5</c:v>
                </c:pt>
                <c:pt idx="11">
                  <c:v>505.5</c:v>
                </c:pt>
                <c:pt idx="12">
                  <c:v>505.5</c:v>
                </c:pt>
                <c:pt idx="13">
                  <c:v>505.5</c:v>
                </c:pt>
                <c:pt idx="14">
                  <c:v>505.5</c:v>
                </c:pt>
                <c:pt idx="15">
                  <c:v>505.5</c:v>
                </c:pt>
                <c:pt idx="16">
                  <c:v>505.5</c:v>
                </c:pt>
                <c:pt idx="17">
                  <c:v>505.5</c:v>
                </c:pt>
                <c:pt idx="18">
                  <c:v>505.5</c:v>
                </c:pt>
                <c:pt idx="19">
                  <c:v>505.5</c:v>
                </c:pt>
                <c:pt idx="20">
                  <c:v>505.5</c:v>
                </c:pt>
                <c:pt idx="21">
                  <c:v>505.5</c:v>
                </c:pt>
                <c:pt idx="22">
                  <c:v>505.5</c:v>
                </c:pt>
                <c:pt idx="23">
                  <c:v>505.5</c:v>
                </c:pt>
                <c:pt idx="24">
                  <c:v>505.5</c:v>
                </c:pt>
                <c:pt idx="25">
                  <c:v>505.5</c:v>
                </c:pt>
                <c:pt idx="26">
                  <c:v>505.5</c:v>
                </c:pt>
                <c:pt idx="27">
                  <c:v>505.5</c:v>
                </c:pt>
                <c:pt idx="28">
                  <c:v>505.5</c:v>
                </c:pt>
                <c:pt idx="29">
                  <c:v>505.5</c:v>
                </c:pt>
                <c:pt idx="30">
                  <c:v>505.5</c:v>
                </c:pt>
                <c:pt idx="31">
                  <c:v>505.5</c:v>
                </c:pt>
                <c:pt idx="32">
                  <c:v>505.5</c:v>
                </c:pt>
                <c:pt idx="33">
                  <c:v>505.5</c:v>
                </c:pt>
                <c:pt idx="34">
                  <c:v>505.5</c:v>
                </c:pt>
                <c:pt idx="35">
                  <c:v>505.5</c:v>
                </c:pt>
                <c:pt idx="36">
                  <c:v>505.5</c:v>
                </c:pt>
                <c:pt idx="37">
                  <c:v>505.5</c:v>
                </c:pt>
                <c:pt idx="38">
                  <c:v>505.5</c:v>
                </c:pt>
                <c:pt idx="39">
                  <c:v>505.5</c:v>
                </c:pt>
                <c:pt idx="40">
                  <c:v>505.5</c:v>
                </c:pt>
                <c:pt idx="41">
                  <c:v>505.5</c:v>
                </c:pt>
                <c:pt idx="42">
                  <c:v>505.5</c:v>
                </c:pt>
                <c:pt idx="43">
                  <c:v>505.5</c:v>
                </c:pt>
                <c:pt idx="44">
                  <c:v>505.5</c:v>
                </c:pt>
                <c:pt idx="45">
                  <c:v>505.5</c:v>
                </c:pt>
                <c:pt idx="46">
                  <c:v>505.5</c:v>
                </c:pt>
                <c:pt idx="47">
                  <c:v>505.5</c:v>
                </c:pt>
                <c:pt idx="48">
                  <c:v>505.5</c:v>
                </c:pt>
                <c:pt idx="49">
                  <c:v>505.5</c:v>
                </c:pt>
                <c:pt idx="50">
                  <c:v>505.5</c:v>
                </c:pt>
                <c:pt idx="51">
                  <c:v>505.5</c:v>
                </c:pt>
                <c:pt idx="52">
                  <c:v>505.5</c:v>
                </c:pt>
                <c:pt idx="53">
                  <c:v>505.5</c:v>
                </c:pt>
                <c:pt idx="54">
                  <c:v>505.5</c:v>
                </c:pt>
                <c:pt idx="55">
                  <c:v>505.5</c:v>
                </c:pt>
                <c:pt idx="56">
                  <c:v>505.5</c:v>
                </c:pt>
                <c:pt idx="57">
                  <c:v>505.5</c:v>
                </c:pt>
                <c:pt idx="58">
                  <c:v>505.5</c:v>
                </c:pt>
                <c:pt idx="59">
                  <c:v>505.5</c:v>
                </c:pt>
                <c:pt idx="60">
                  <c:v>505.5</c:v>
                </c:pt>
                <c:pt idx="61">
                  <c:v>505.5</c:v>
                </c:pt>
                <c:pt idx="62">
                  <c:v>505.5</c:v>
                </c:pt>
                <c:pt idx="63">
                  <c:v>505.5</c:v>
                </c:pt>
                <c:pt idx="64">
                  <c:v>505.5</c:v>
                </c:pt>
                <c:pt idx="65">
                  <c:v>505.5</c:v>
                </c:pt>
                <c:pt idx="66">
                  <c:v>505.5</c:v>
                </c:pt>
                <c:pt idx="67">
                  <c:v>505.5</c:v>
                </c:pt>
                <c:pt idx="68">
                  <c:v>505.5</c:v>
                </c:pt>
                <c:pt idx="69">
                  <c:v>505.5</c:v>
                </c:pt>
                <c:pt idx="70">
                  <c:v>505.5</c:v>
                </c:pt>
                <c:pt idx="71">
                  <c:v>505.5</c:v>
                </c:pt>
                <c:pt idx="72">
                  <c:v>505.5</c:v>
                </c:pt>
                <c:pt idx="73">
                  <c:v>505.5</c:v>
                </c:pt>
                <c:pt idx="74">
                  <c:v>505.5</c:v>
                </c:pt>
                <c:pt idx="75">
                  <c:v>505.5</c:v>
                </c:pt>
                <c:pt idx="76">
                  <c:v>505.5</c:v>
                </c:pt>
                <c:pt idx="77">
                  <c:v>505.5</c:v>
                </c:pt>
                <c:pt idx="78">
                  <c:v>505.5</c:v>
                </c:pt>
                <c:pt idx="79">
                  <c:v>505.5</c:v>
                </c:pt>
                <c:pt idx="80">
                  <c:v>505.5</c:v>
                </c:pt>
                <c:pt idx="81">
                  <c:v>505.5</c:v>
                </c:pt>
                <c:pt idx="82">
                  <c:v>505.5</c:v>
                </c:pt>
                <c:pt idx="83">
                  <c:v>505.5</c:v>
                </c:pt>
                <c:pt idx="84">
                  <c:v>505.5</c:v>
                </c:pt>
                <c:pt idx="85">
                  <c:v>505.5</c:v>
                </c:pt>
                <c:pt idx="86">
                  <c:v>505.5</c:v>
                </c:pt>
                <c:pt idx="87">
                  <c:v>505.5</c:v>
                </c:pt>
                <c:pt idx="88">
                  <c:v>505.5</c:v>
                </c:pt>
                <c:pt idx="89">
                  <c:v>505.5</c:v>
                </c:pt>
                <c:pt idx="90">
                  <c:v>505.5</c:v>
                </c:pt>
                <c:pt idx="91">
                  <c:v>505.5</c:v>
                </c:pt>
                <c:pt idx="92">
                  <c:v>505.5</c:v>
                </c:pt>
                <c:pt idx="93">
                  <c:v>505.5</c:v>
                </c:pt>
                <c:pt idx="94">
                  <c:v>505.5</c:v>
                </c:pt>
                <c:pt idx="95">
                  <c:v>505.5</c:v>
                </c:pt>
                <c:pt idx="96">
                  <c:v>505.5</c:v>
                </c:pt>
                <c:pt idx="97">
                  <c:v>505.5</c:v>
                </c:pt>
                <c:pt idx="98">
                  <c:v>505.5</c:v>
                </c:pt>
                <c:pt idx="99">
                  <c:v>505.5</c:v>
                </c:pt>
                <c:pt idx="100">
                  <c:v>505.5</c:v>
                </c:pt>
                <c:pt idx="101">
                  <c:v>505.5</c:v>
                </c:pt>
                <c:pt idx="102">
                  <c:v>505.5</c:v>
                </c:pt>
                <c:pt idx="103">
                  <c:v>505.5</c:v>
                </c:pt>
                <c:pt idx="104">
                  <c:v>505.5</c:v>
                </c:pt>
                <c:pt idx="105">
                  <c:v>505.5</c:v>
                </c:pt>
                <c:pt idx="106">
                  <c:v>505.5</c:v>
                </c:pt>
                <c:pt idx="107">
                  <c:v>505.5</c:v>
                </c:pt>
                <c:pt idx="108">
                  <c:v>505.5</c:v>
                </c:pt>
                <c:pt idx="109">
                  <c:v>505.5</c:v>
                </c:pt>
                <c:pt idx="110">
                  <c:v>505.5</c:v>
                </c:pt>
                <c:pt idx="111">
                  <c:v>505.5</c:v>
                </c:pt>
                <c:pt idx="112">
                  <c:v>505.5</c:v>
                </c:pt>
                <c:pt idx="113">
                  <c:v>505.5</c:v>
                </c:pt>
                <c:pt idx="114">
                  <c:v>505.5</c:v>
                </c:pt>
                <c:pt idx="115">
                  <c:v>505.5</c:v>
                </c:pt>
                <c:pt idx="116">
                  <c:v>505.5</c:v>
                </c:pt>
                <c:pt idx="117">
                  <c:v>505.5</c:v>
                </c:pt>
                <c:pt idx="118">
                  <c:v>505.5</c:v>
                </c:pt>
                <c:pt idx="119">
                  <c:v>505.5</c:v>
                </c:pt>
                <c:pt idx="120">
                  <c:v>505.5</c:v>
                </c:pt>
                <c:pt idx="121">
                  <c:v>505.5</c:v>
                </c:pt>
              </c:numCache>
            </c:numRef>
          </c:val>
          <c:smooth val="0"/>
          <c:extLst>
            <c:ext xmlns:c16="http://schemas.microsoft.com/office/drawing/2014/chart" uri="{C3380CC4-5D6E-409C-BE32-E72D297353CC}">
              <c16:uniqueId val="{00000004-5ED6-444E-9B0D-55D057D1EE9D}"/>
            </c:ext>
          </c:extLst>
        </c:ser>
        <c:ser>
          <c:idx val="5"/>
          <c:order val="4"/>
          <c:tx>
            <c:strRef>
              <c:f>'Corn Already Planted'!$AV$82</c:f>
              <c:strCache>
                <c:ptCount val="1"/>
                <c:pt idx="0">
                  <c:v>Replant Corn</c:v>
                </c:pt>
              </c:strCache>
            </c:strRef>
          </c:tx>
          <c:spPr>
            <a:ln w="50800">
              <a:solidFill>
                <a:schemeClr val="accent6"/>
              </a:solidFill>
            </a:ln>
          </c:spPr>
          <c:marker>
            <c:symbol val="none"/>
          </c:marker>
          <c:val>
            <c:numRef>
              <c:f>'Corn Already Planted'!$AV$84:$AV$205</c:f>
              <c:numCache>
                <c:formatCode>General</c:formatCode>
                <c:ptCount val="122"/>
                <c:pt idx="0">
                  <c:v>589</c:v>
                </c:pt>
                <c:pt idx="1">
                  <c:v>589</c:v>
                </c:pt>
                <c:pt idx="2">
                  <c:v>589</c:v>
                </c:pt>
                <c:pt idx="3">
                  <c:v>589</c:v>
                </c:pt>
                <c:pt idx="4">
                  <c:v>589</c:v>
                </c:pt>
                <c:pt idx="5">
                  <c:v>589</c:v>
                </c:pt>
                <c:pt idx="6">
                  <c:v>589</c:v>
                </c:pt>
                <c:pt idx="7">
                  <c:v>589</c:v>
                </c:pt>
                <c:pt idx="8">
                  <c:v>589</c:v>
                </c:pt>
                <c:pt idx="9">
                  <c:v>589</c:v>
                </c:pt>
                <c:pt idx="10">
                  <c:v>589</c:v>
                </c:pt>
                <c:pt idx="11">
                  <c:v>587.30472726438188</c:v>
                </c:pt>
                <c:pt idx="12">
                  <c:v>585.07059998238469</c:v>
                </c:pt>
                <c:pt idx="13">
                  <c:v>582.78601817203685</c:v>
                </c:pt>
                <c:pt idx="14">
                  <c:v>580.45098180232571</c:v>
                </c:pt>
                <c:pt idx="15">
                  <c:v>578.06549089806163</c:v>
                </c:pt>
                <c:pt idx="16">
                  <c:v>575.62954544683919</c:v>
                </c:pt>
                <c:pt idx="17">
                  <c:v>573.14314544245599</c:v>
                </c:pt>
                <c:pt idx="18">
                  <c:v>570.60629090351983</c:v>
                </c:pt>
                <c:pt idx="19">
                  <c:v>568.01898180522016</c:v>
                </c:pt>
                <c:pt idx="20">
                  <c:v>565.38121817236765</c:v>
                </c:pt>
                <c:pt idx="21">
                  <c:v>562.69299998635427</c:v>
                </c:pt>
                <c:pt idx="22">
                  <c:v>559.95432725958528</c:v>
                </c:pt>
                <c:pt idx="23">
                  <c:v>557.16519997965543</c:v>
                </c:pt>
                <c:pt idx="24">
                  <c:v>554.32561817137525</c:v>
                </c:pt>
                <c:pt idx="25">
                  <c:v>551.43558180993421</c:v>
                </c:pt>
                <c:pt idx="26">
                  <c:v>548.4950908953324</c:v>
                </c:pt>
                <c:pt idx="27">
                  <c:v>545.50414544617763</c:v>
                </c:pt>
                <c:pt idx="28">
                  <c:v>542.46274543765935</c:v>
                </c:pt>
                <c:pt idx="29">
                  <c:v>539.37089090079076</c:v>
                </c:pt>
                <c:pt idx="30">
                  <c:v>536.22858180455864</c:v>
                </c:pt>
                <c:pt idx="31">
                  <c:v>533.03581817377358</c:v>
                </c:pt>
                <c:pt idx="32">
                  <c:v>529.79259998362511</c:v>
                </c:pt>
                <c:pt idx="33">
                  <c:v>526.49892725892369</c:v>
                </c:pt>
                <c:pt idx="34">
                  <c:v>523.15479999346667</c:v>
                </c:pt>
                <c:pt idx="35">
                  <c:v>519.76021816864613</c:v>
                </c:pt>
                <c:pt idx="36">
                  <c:v>516.31518180927264</c:v>
                </c:pt>
                <c:pt idx="37">
                  <c:v>512.81969089673828</c:v>
                </c:pt>
                <c:pt idx="38">
                  <c:v>509.27374544344838</c:v>
                </c:pt>
                <c:pt idx="39">
                  <c:v>505.67734543699771</c:v>
                </c:pt>
                <c:pt idx="40">
                  <c:v>502.03049089599398</c:v>
                </c:pt>
                <c:pt idx="41">
                  <c:v>498.33318180182948</c:v>
                </c:pt>
                <c:pt idx="42">
                  <c:v>494.58541817311198</c:v>
                </c:pt>
                <c:pt idx="43">
                  <c:v>490.78719997882843</c:v>
                </c:pt>
                <c:pt idx="44">
                  <c:v>486.93852726239709</c:v>
                </c:pt>
                <c:pt idx="45">
                  <c:v>483.03939999280487</c:v>
                </c:pt>
                <c:pt idx="46">
                  <c:v>479.08981817005207</c:v>
                </c:pt>
                <c:pt idx="47">
                  <c:v>475.08978181274608</c:v>
                </c:pt>
                <c:pt idx="48">
                  <c:v>471.03929089607675</c:v>
                </c:pt>
                <c:pt idx="49">
                  <c:v>466.93834544485435</c:v>
                </c:pt>
                <c:pt idx="50">
                  <c:v>462.78694544047107</c:v>
                </c:pt>
                <c:pt idx="51">
                  <c:v>458.58509089533237</c:v>
                </c:pt>
                <c:pt idx="52">
                  <c:v>454.33278180323543</c:v>
                </c:pt>
                <c:pt idx="53">
                  <c:v>450.03001817038285</c:v>
                </c:pt>
                <c:pt idx="54">
                  <c:v>445.67679999057214</c:v>
                </c:pt>
                <c:pt idx="55">
                  <c:v>441.27312725760038</c:v>
                </c:pt>
                <c:pt idx="56">
                  <c:v>436.81899999007584</c:v>
                </c:pt>
                <c:pt idx="57">
                  <c:v>432.31441816939042</c:v>
                </c:pt>
                <c:pt idx="58">
                  <c:v>427.75938180794935</c:v>
                </c:pt>
                <c:pt idx="59">
                  <c:v>426.4469818194583</c:v>
                </c:pt>
                <c:pt idx="60">
                  <c:v>426.82449090993032</c:v>
                </c:pt>
                <c:pt idx="61">
                  <c:v>427.20609091062101</c:v>
                </c:pt>
                <c:pt idx="62">
                  <c:v>427.59178181901575</c:v>
                </c:pt>
                <c:pt idx="63">
                  <c:v>427.98156363662332</c:v>
                </c:pt>
                <c:pt idx="64">
                  <c:v>428.37543636495246</c:v>
                </c:pt>
                <c:pt idx="65">
                  <c:v>428.77340000048281</c:v>
                </c:pt>
                <c:pt idx="66">
                  <c:v>429.17545454673473</c:v>
                </c:pt>
                <c:pt idx="67">
                  <c:v>429.58160000069068</c:v>
                </c:pt>
                <c:pt idx="68">
                  <c:v>429.99183636486532</c:v>
                </c:pt>
                <c:pt idx="69">
                  <c:v>430.40616363724695</c:v>
                </c:pt>
                <c:pt idx="70">
                  <c:v>430.8245818193443</c:v>
                </c:pt>
                <c:pt idx="71">
                  <c:v>431.2470909101516</c:v>
                </c:pt>
                <c:pt idx="72">
                  <c:v>431.67369091067462</c:v>
                </c:pt>
                <c:pt idx="73">
                  <c:v>432.10438181940469</c:v>
                </c:pt>
                <c:pt idx="74">
                  <c:v>432.53916363684459</c:v>
                </c:pt>
                <c:pt idx="75">
                  <c:v>432.97803636500612</c:v>
                </c:pt>
                <c:pt idx="76">
                  <c:v>433.42100000087169</c:v>
                </c:pt>
                <c:pt idx="77">
                  <c:v>433.8680545464531</c:v>
                </c:pt>
                <c:pt idx="78">
                  <c:v>434.31920000074433</c:v>
                </c:pt>
                <c:pt idx="79">
                  <c:v>434.7744363647513</c:v>
                </c:pt>
                <c:pt idx="80">
                  <c:v>435.2337636374682</c:v>
                </c:pt>
                <c:pt idx="81">
                  <c:v>435.697181819398</c:v>
                </c:pt>
                <c:pt idx="82">
                  <c:v>436.16469091003762</c:v>
                </c:pt>
                <c:pt idx="83">
                  <c:v>436.63629090938718</c:v>
                </c:pt>
                <c:pt idx="84">
                  <c:v>437.11198181945832</c:v>
                </c:pt>
                <c:pt idx="85">
                  <c:v>437.5917636372335</c:v>
                </c:pt>
                <c:pt idx="86">
                  <c:v>438.07563636472446</c:v>
                </c:pt>
                <c:pt idx="87">
                  <c:v>438.56360000092536</c:v>
                </c:pt>
                <c:pt idx="88">
                  <c:v>439.05565454684199</c:v>
                </c:pt>
                <c:pt idx="89">
                  <c:v>439.55180000096561</c:v>
                </c:pt>
                <c:pt idx="90">
                  <c:v>440.05203636480496</c:v>
                </c:pt>
                <c:pt idx="91">
                  <c:v>440.55636363735425</c:v>
                </c:pt>
                <c:pt idx="92">
                  <c:v>441.06478181861343</c:v>
                </c:pt>
                <c:pt idx="93">
                  <c:v>441.57729091009128</c:v>
                </c:pt>
                <c:pt idx="94">
                  <c:v>442.09389090977606</c:v>
                </c:pt>
                <c:pt idx="95">
                  <c:v>442.61458181917669</c:v>
                </c:pt>
                <c:pt idx="96">
                  <c:v>443.13936363728715</c:v>
                </c:pt>
                <c:pt idx="97">
                  <c:v>443.66823636511344</c:v>
                </c:pt>
                <c:pt idx="98">
                  <c:v>444.20120000064372</c:v>
                </c:pt>
                <c:pt idx="99">
                  <c:v>444.73825454689563</c:v>
                </c:pt>
                <c:pt idx="100">
                  <c:v>445.27940000085164</c:v>
                </c:pt>
                <c:pt idx="101">
                  <c:v>445.82463636502621</c:v>
                </c:pt>
                <c:pt idx="102">
                  <c:v>446.37396363740788</c:v>
                </c:pt>
                <c:pt idx="103">
                  <c:v>446.92738181900233</c:v>
                </c:pt>
                <c:pt idx="104">
                  <c:v>447.48489091031252</c:v>
                </c:pt>
                <c:pt idx="105">
                  <c:v>448.04649090982974</c:v>
                </c:pt>
                <c:pt idx="106">
                  <c:v>448.61218181956559</c:v>
                </c:pt>
                <c:pt idx="107">
                  <c:v>449.18196363700554</c:v>
                </c:pt>
                <c:pt idx="108">
                  <c:v>449.75583636516706</c:v>
                </c:pt>
                <c:pt idx="109">
                  <c:v>450.33380000103267</c:v>
                </c:pt>
                <c:pt idx="110">
                  <c:v>450.91585454711691</c:v>
                </c:pt>
                <c:pt idx="111">
                  <c:v>451.50200000090524</c:v>
                </c:pt>
                <c:pt idx="112">
                  <c:v>452.09223636440936</c:v>
                </c:pt>
                <c:pt idx="113">
                  <c:v>452.68656363762915</c:v>
                </c:pt>
                <c:pt idx="114">
                  <c:v>453.28498181905599</c:v>
                </c:pt>
                <c:pt idx="115">
                  <c:v>453.88749091019855</c:v>
                </c:pt>
                <c:pt idx="116">
                  <c:v>454.494090910051</c:v>
                </c:pt>
                <c:pt idx="117">
                  <c:v>455.10478181961923</c:v>
                </c:pt>
                <c:pt idx="118">
                  <c:v>455.71956363739446</c:v>
                </c:pt>
                <c:pt idx="119">
                  <c:v>456.33843636488541</c:v>
                </c:pt>
                <c:pt idx="120">
                  <c:v>456.9614000010863</c:v>
                </c:pt>
                <c:pt idx="121">
                  <c:v>457.58845454599708</c:v>
                </c:pt>
              </c:numCache>
            </c:numRef>
          </c:val>
          <c:smooth val="0"/>
          <c:extLst>
            <c:ext xmlns:c16="http://schemas.microsoft.com/office/drawing/2014/chart" uri="{C3380CC4-5D6E-409C-BE32-E72D297353CC}">
              <c16:uniqueId val="{00000005-5ED6-444E-9B0D-55D057D1EE9D}"/>
            </c:ext>
          </c:extLst>
        </c:ser>
        <c:ser>
          <c:idx val="0"/>
          <c:order val="6"/>
          <c:tx>
            <c:strRef>
              <c:f>'Corn Already Planted'!$AX$82</c:f>
              <c:strCache>
                <c:ptCount val="1"/>
                <c:pt idx="0">
                  <c:v>Switch to Soybeans</c:v>
                </c:pt>
              </c:strCache>
            </c:strRef>
          </c:tx>
          <c:spPr>
            <a:ln w="50800"/>
          </c:spPr>
          <c:marker>
            <c:symbol val="none"/>
          </c:marker>
          <c:val>
            <c:numRef>
              <c:f>'Corn Already Planted'!$AX$84:$AX$205</c:f>
              <c:numCache>
                <c:formatCode>General</c:formatCode>
                <c:ptCount val="1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732.77275508902972</c:v>
                </c:pt>
                <c:pt idx="16">
                  <c:v>734.2889455675147</c:v>
                </c:pt>
                <c:pt idx="17">
                  <c:v>735.70360544510186</c:v>
                </c:pt>
                <c:pt idx="18">
                  <c:v>737.01673470325773</c:v>
                </c:pt>
                <c:pt idx="19">
                  <c:v>738.22833330491562</c:v>
                </c:pt>
                <c:pt idx="20">
                  <c:v>739.3384013242088</c:v>
                </c:pt>
                <c:pt idx="21">
                  <c:v>740.34693874260415</c:v>
                </c:pt>
                <c:pt idx="22">
                  <c:v>741.25394556010144</c:v>
                </c:pt>
                <c:pt idx="23">
                  <c:v>742.05942175816745</c:v>
                </c:pt>
                <c:pt idx="24">
                  <c:v>742.76336733680216</c:v>
                </c:pt>
                <c:pt idx="25">
                  <c:v>743.36578229600559</c:v>
                </c:pt>
                <c:pt idx="26">
                  <c:v>743.86666665431108</c:v>
                </c:pt>
                <c:pt idx="27">
                  <c:v>744.26602041171861</c:v>
                </c:pt>
                <c:pt idx="28">
                  <c:v>744.56384353116152</c:v>
                </c:pt>
                <c:pt idx="29">
                  <c:v>744.76013604970649</c:v>
                </c:pt>
                <c:pt idx="30">
                  <c:v>744.85489796735351</c:v>
                </c:pt>
                <c:pt idx="31">
                  <c:v>744.84812922850256</c:v>
                </c:pt>
                <c:pt idx="32">
                  <c:v>744.73982990728689</c:v>
                </c:pt>
                <c:pt idx="33">
                  <c:v>744.52999998517339</c:v>
                </c:pt>
                <c:pt idx="34">
                  <c:v>744.21863944362849</c:v>
                </c:pt>
                <c:pt idx="35">
                  <c:v>743.8057482826523</c:v>
                </c:pt>
                <c:pt idx="36">
                  <c:v>743.29132652077828</c:v>
                </c:pt>
                <c:pt idx="37">
                  <c:v>742.67537413947286</c:v>
                </c:pt>
                <c:pt idx="38">
                  <c:v>741.9578911572695</c:v>
                </c:pt>
                <c:pt idx="39">
                  <c:v>741.13887755563485</c:v>
                </c:pt>
                <c:pt idx="40">
                  <c:v>740.21833333456891</c:v>
                </c:pt>
                <c:pt idx="41">
                  <c:v>739.19625851260503</c:v>
                </c:pt>
                <c:pt idx="42">
                  <c:v>738.07265307120974</c:v>
                </c:pt>
                <c:pt idx="43">
                  <c:v>736.84751697331671</c:v>
                </c:pt>
                <c:pt idx="44">
                  <c:v>735.5208503115922</c:v>
                </c:pt>
                <c:pt idx="45">
                  <c:v>734.09265303043651</c:v>
                </c:pt>
                <c:pt idx="46">
                  <c:v>732.56292514838276</c:v>
                </c:pt>
                <c:pt idx="47">
                  <c:v>730.93166664689784</c:v>
                </c:pt>
                <c:pt idx="48">
                  <c:v>729.19887754451486</c:v>
                </c:pt>
                <c:pt idx="49">
                  <c:v>727.36455782270059</c:v>
                </c:pt>
                <c:pt idx="50">
                  <c:v>725.42870748145504</c:v>
                </c:pt>
                <c:pt idx="51">
                  <c:v>723.39132652077819</c:v>
                </c:pt>
                <c:pt idx="52">
                  <c:v>721.25241495920341</c:v>
                </c:pt>
                <c:pt idx="53">
                  <c:v>719.01197279673067</c:v>
                </c:pt>
                <c:pt idx="54">
                  <c:v>716.66999997775997</c:v>
                </c:pt>
                <c:pt idx="55">
                  <c:v>714.22649657642467</c:v>
                </c:pt>
                <c:pt idx="56">
                  <c:v>711.68146255565807</c:v>
                </c:pt>
                <c:pt idx="57">
                  <c:v>709.03489793399353</c:v>
                </c:pt>
                <c:pt idx="58">
                  <c:v>706.28680271143094</c:v>
                </c:pt>
                <c:pt idx="59">
                  <c:v>703.43717685090382</c:v>
                </c:pt>
                <c:pt idx="60">
                  <c:v>700.48602038947865</c:v>
                </c:pt>
                <c:pt idx="61">
                  <c:v>697.43333332715554</c:v>
                </c:pt>
                <c:pt idx="62">
                  <c:v>694.27911564540113</c:v>
                </c:pt>
                <c:pt idx="63">
                  <c:v>691.02336734421556</c:v>
                </c:pt>
                <c:pt idx="64">
                  <c:v>687.66608844213192</c:v>
                </c:pt>
                <c:pt idx="65">
                  <c:v>684.207278920617</c:v>
                </c:pt>
                <c:pt idx="66">
                  <c:v>680.64693874260411</c:v>
                </c:pt>
                <c:pt idx="67">
                  <c:v>676.98506800075995</c:v>
                </c:pt>
                <c:pt idx="68">
                  <c:v>673.22166663948451</c:v>
                </c:pt>
                <c:pt idx="69">
                  <c:v>669.35673467731101</c:v>
                </c:pt>
                <c:pt idx="70">
                  <c:v>665.39027209570634</c:v>
                </c:pt>
                <c:pt idx="71">
                  <c:v>661.32227889467026</c:v>
                </c:pt>
                <c:pt idx="72">
                  <c:v>657.15275509273636</c:v>
                </c:pt>
                <c:pt idx="73">
                  <c:v>652.88170067137105</c:v>
                </c:pt>
                <c:pt idx="74">
                  <c:v>648.5091156491078</c:v>
                </c:pt>
                <c:pt idx="75">
                  <c:v>644.03500000741337</c:v>
                </c:pt>
                <c:pt idx="76">
                  <c:v>639.45935374628755</c:v>
                </c:pt>
                <c:pt idx="77">
                  <c:v>634.78217688426378</c:v>
                </c:pt>
                <c:pt idx="78">
                  <c:v>630.00346936574203</c:v>
                </c:pt>
                <c:pt idx="79">
                  <c:v>625.12323126485569</c:v>
                </c:pt>
                <c:pt idx="80">
                  <c:v>620.1414625630714</c:v>
                </c:pt>
                <c:pt idx="81">
                  <c:v>615.05816324185582</c:v>
                </c:pt>
                <c:pt idx="82">
                  <c:v>609.87333331974219</c:v>
                </c:pt>
                <c:pt idx="83">
                  <c:v>604.58697277819738</c:v>
                </c:pt>
                <c:pt idx="84">
                  <c:v>599.19908161722128</c:v>
                </c:pt>
                <c:pt idx="85">
                  <c:v>593.70965985534713</c:v>
                </c:pt>
                <c:pt idx="86">
                  <c:v>588.11870747404168</c:v>
                </c:pt>
                <c:pt idx="87">
                  <c:v>582.42622449183841</c:v>
                </c:pt>
                <c:pt idx="88">
                  <c:v>576.63221089020374</c:v>
                </c:pt>
                <c:pt idx="89">
                  <c:v>570.73666663207109</c:v>
                </c:pt>
                <c:pt idx="90">
                  <c:v>564.73959181010719</c:v>
                </c:pt>
                <c:pt idx="91">
                  <c:v>558.64098636871199</c:v>
                </c:pt>
                <c:pt idx="92">
                  <c:v>552.44085032641885</c:v>
                </c:pt>
                <c:pt idx="93">
                  <c:v>546.13918364616109</c:v>
                </c:pt>
                <c:pt idx="94">
                  <c:v>539.73598638353872</c:v>
                </c:pt>
                <c:pt idx="95">
                  <c:v>533.23125848295172</c:v>
                </c:pt>
                <c:pt idx="96">
                  <c:v>526.625</c:v>
                </c:pt>
                <c:pt idx="97">
                  <c:v>519.91721087908377</c:v>
                </c:pt>
                <c:pt idx="98">
                  <c:v>513.10789115726948</c:v>
                </c:pt>
                <c:pt idx="99">
                  <c:v>506.19704081602396</c:v>
                </c:pt>
                <c:pt idx="100">
                  <c:v>499.18465987388043</c:v>
                </c:pt>
                <c:pt idx="101">
                  <c:v>492.070748275239</c:v>
                </c:pt>
                <c:pt idx="102">
                  <c:v>484.85530609423296</c:v>
                </c:pt>
                <c:pt idx="103">
                  <c:v>477.53833331232892</c:v>
                </c:pt>
                <c:pt idx="104">
                  <c:v>470.11982991099359</c:v>
                </c:pt>
                <c:pt idx="105">
                  <c:v>462.59979590876026</c:v>
                </c:pt>
                <c:pt idx="106">
                  <c:v>454.9782312870957</c:v>
                </c:pt>
                <c:pt idx="107">
                  <c:v>447.25513604599985</c:v>
                </c:pt>
                <c:pt idx="108">
                  <c:v>439.430510204006</c:v>
                </c:pt>
                <c:pt idx="109">
                  <c:v>431.50435374258086</c:v>
                </c:pt>
                <c:pt idx="110">
                  <c:v>423.47666666172444</c:v>
                </c:pt>
                <c:pt idx="111">
                  <c:v>415.34744897997007</c:v>
                </c:pt>
                <c:pt idx="112">
                  <c:v>407.11670067878441</c:v>
                </c:pt>
                <c:pt idx="113">
                  <c:v>398.78442173963413</c:v>
                </c:pt>
                <c:pt idx="114">
                  <c:v>390.35061221811918</c:v>
                </c:pt>
                <c:pt idx="115">
                  <c:v>381.81527207717301</c:v>
                </c:pt>
                <c:pt idx="116">
                  <c:v>373.17840133532883</c:v>
                </c:pt>
                <c:pt idx="117">
                  <c:v>364.43999999258665</c:v>
                </c:pt>
                <c:pt idx="118">
                  <c:v>355.6000680118799</c:v>
                </c:pt>
                <c:pt idx="119">
                  <c:v>346.6586054302752</c:v>
                </c:pt>
                <c:pt idx="120">
                  <c:v>337.61561222923922</c:v>
                </c:pt>
                <c:pt idx="121">
                  <c:v>328.47108842730523</c:v>
                </c:pt>
              </c:numCache>
            </c:numRef>
          </c:val>
          <c:smooth val="0"/>
          <c:extLst>
            <c:ext xmlns:c16="http://schemas.microsoft.com/office/drawing/2014/chart" uri="{C3380CC4-5D6E-409C-BE32-E72D297353CC}">
              <c16:uniqueId val="{00000006-5ED6-444E-9B0D-55D057D1EE9D}"/>
            </c:ext>
          </c:extLst>
        </c:ser>
        <c:dLbls>
          <c:showLegendKey val="0"/>
          <c:showVal val="0"/>
          <c:showCatName val="0"/>
          <c:showSerName val="0"/>
          <c:showPercent val="0"/>
          <c:showBubbleSize val="0"/>
        </c:dLbls>
        <c:marker val="1"/>
        <c:smooth val="0"/>
        <c:axId val="381583160"/>
        <c:axId val="381583552"/>
      </c:lineChart>
      <c:catAx>
        <c:axId val="381583160"/>
        <c:scaling>
          <c:orientation val="minMax"/>
        </c:scaling>
        <c:delete val="0"/>
        <c:axPos val="b"/>
        <c:numFmt formatCode="d\-mmm" sourceLinked="1"/>
        <c:majorTickMark val="out"/>
        <c:minorTickMark val="none"/>
        <c:tickLblPos val="nextTo"/>
        <c:txPr>
          <a:bodyPr rot="-1260000"/>
          <a:lstStyle/>
          <a:p>
            <a:pPr>
              <a:defRPr sz="1400"/>
            </a:pPr>
            <a:endParaRPr lang="en-US"/>
          </a:p>
        </c:txPr>
        <c:crossAx val="381583552"/>
        <c:crosses val="autoZero"/>
        <c:auto val="1"/>
        <c:lblAlgn val="ctr"/>
        <c:lblOffset val="100"/>
        <c:tickLblSkip val="7"/>
        <c:tickMarkSkip val="7"/>
        <c:noMultiLvlLbl val="0"/>
      </c:catAx>
      <c:valAx>
        <c:axId val="381583552"/>
        <c:scaling>
          <c:orientation val="minMax"/>
        </c:scaling>
        <c:delete val="0"/>
        <c:axPos val="l"/>
        <c:majorGridlines/>
        <c:title>
          <c:tx>
            <c:rich>
              <a:bodyPr rot="-5400000" vert="horz"/>
              <a:lstStyle/>
              <a:p>
                <a:pPr>
                  <a:defRPr sz="1400"/>
                </a:pPr>
                <a:r>
                  <a:rPr lang="en-US" sz="1400"/>
                  <a:t>Net Income Per Acre</a:t>
                </a:r>
              </a:p>
            </c:rich>
          </c:tx>
          <c:layout/>
          <c:overlay val="0"/>
        </c:title>
        <c:numFmt formatCode="&quot;$&quot;#,##0" sourceLinked="0"/>
        <c:majorTickMark val="out"/>
        <c:minorTickMark val="none"/>
        <c:tickLblPos val="nextTo"/>
        <c:txPr>
          <a:bodyPr/>
          <a:lstStyle/>
          <a:p>
            <a:pPr>
              <a:defRPr sz="1400"/>
            </a:pPr>
            <a:endParaRPr lang="en-US"/>
          </a:p>
        </c:txPr>
        <c:crossAx val="381583160"/>
        <c:crosses val="autoZero"/>
        <c:crossBetween val="between"/>
      </c:valAx>
    </c:plotArea>
    <c:legend>
      <c:legendPos val="b"/>
      <c:layout/>
      <c:overlay val="0"/>
    </c:legend>
    <c:plotVisOnly val="1"/>
    <c:dispBlanksAs val="gap"/>
    <c:showDLblsOverMax val="0"/>
  </c:chart>
  <c:spPr>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Comparison of Options For</a:t>
            </a:r>
            <a:r>
              <a:rPr lang="en-US" baseline="0"/>
              <a:t> Prevented Planting of Corn</a:t>
            </a:r>
            <a:endParaRPr lang="en-US"/>
          </a:p>
        </c:rich>
      </c:tx>
      <c:overlay val="0"/>
    </c:title>
    <c:autoTitleDeleted val="0"/>
    <c:plotArea>
      <c:layout/>
      <c:barChart>
        <c:barDir val="col"/>
        <c:grouping val="clustered"/>
        <c:varyColors val="0"/>
        <c:ser>
          <c:idx val="3"/>
          <c:order val="0"/>
          <c:tx>
            <c:strRef>
              <c:f>'Corn Prevented Planting'!$BN$83</c:f>
              <c:strCache>
                <c:ptCount val="1"/>
                <c:pt idx="0">
                  <c:v>SB Initial Planting Date</c:v>
                </c:pt>
              </c:strCache>
            </c:strRef>
          </c:tx>
          <c:spPr>
            <a:solidFill>
              <a:schemeClr val="accent3">
                <a:lumMod val="50000"/>
              </a:schemeClr>
            </a:solidFill>
          </c:spPr>
          <c:invertIfNegative val="0"/>
          <c:cat>
            <c:numRef>
              <c:f>'Corn Prevented Planting'!$BH$85:$BH$206</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formatCode="m/d/yyyy">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Prevented Planting'!$BN$85:$BN$206</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1000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0-5D68-4357-BDCC-F1B9DFBB34A7}"/>
            </c:ext>
          </c:extLst>
        </c:ser>
        <c:ser>
          <c:idx val="2"/>
          <c:order val="1"/>
          <c:tx>
            <c:strRef>
              <c:f>'Corn Prevented Planting'!$BM$83</c:f>
              <c:strCache>
                <c:ptCount val="1"/>
                <c:pt idx="0">
                  <c:v>Corn Initial Planting Date</c:v>
                </c:pt>
              </c:strCache>
            </c:strRef>
          </c:tx>
          <c:spPr>
            <a:solidFill>
              <a:schemeClr val="accent3">
                <a:lumMod val="60000"/>
                <a:lumOff val="40000"/>
              </a:schemeClr>
            </a:solidFill>
          </c:spPr>
          <c:invertIfNegative val="0"/>
          <c:cat>
            <c:numRef>
              <c:f>'Corn Prevented Planting'!$BH$85:$BH$206</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formatCode="m/d/yyyy">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Prevented Planting'!$BM$85:$BM$206</c:f>
              <c:numCache>
                <c:formatCode>General</c:formatCode>
                <c:ptCount val="122"/>
                <c:pt idx="0">
                  <c:v>1000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1-5D68-4357-BDCC-F1B9DFBB34A7}"/>
            </c:ext>
          </c:extLst>
        </c:ser>
        <c:ser>
          <c:idx val="4"/>
          <c:order val="2"/>
          <c:tx>
            <c:strRef>
              <c:f>'Corn Prevented Planting'!$BO$83</c:f>
              <c:strCache>
                <c:ptCount val="1"/>
                <c:pt idx="0">
                  <c:v>SB Late Planting Period</c:v>
                </c:pt>
              </c:strCache>
            </c:strRef>
          </c:tx>
          <c:spPr>
            <a:pattFill prst="diagBrick">
              <a:fgClr>
                <a:schemeClr val="tx2">
                  <a:lumMod val="40000"/>
                  <a:lumOff val="60000"/>
                </a:schemeClr>
              </a:fgClr>
              <a:bgClr>
                <a:schemeClr val="bg1"/>
              </a:bgClr>
            </a:pattFill>
          </c:spPr>
          <c:invertIfNegative val="0"/>
          <c:cat>
            <c:numRef>
              <c:f>'Corn Prevented Planting'!$BH$85:$BH$206</c:f>
              <c:numCache>
                <c:formatCode>d\-mmm</c:formatCode>
                <c:ptCount val="122"/>
                <c:pt idx="0">
                  <c:v>43560</c:v>
                </c:pt>
                <c:pt idx="1">
                  <c:v>43561</c:v>
                </c:pt>
                <c:pt idx="2">
                  <c:v>43562</c:v>
                </c:pt>
                <c:pt idx="3">
                  <c:v>43563</c:v>
                </c:pt>
                <c:pt idx="4">
                  <c:v>43564</c:v>
                </c:pt>
                <c:pt idx="5">
                  <c:v>43565</c:v>
                </c:pt>
                <c:pt idx="6">
                  <c:v>43566</c:v>
                </c:pt>
                <c:pt idx="7">
                  <c:v>43567</c:v>
                </c:pt>
                <c:pt idx="8">
                  <c:v>43568</c:v>
                </c:pt>
                <c:pt idx="9">
                  <c:v>43569</c:v>
                </c:pt>
                <c:pt idx="10">
                  <c:v>43570</c:v>
                </c:pt>
                <c:pt idx="11">
                  <c:v>43571</c:v>
                </c:pt>
                <c:pt idx="12">
                  <c:v>43572</c:v>
                </c:pt>
                <c:pt idx="13">
                  <c:v>43573</c:v>
                </c:pt>
                <c:pt idx="14">
                  <c:v>43574</c:v>
                </c:pt>
                <c:pt idx="15">
                  <c:v>43575</c:v>
                </c:pt>
                <c:pt idx="16">
                  <c:v>43576</c:v>
                </c:pt>
                <c:pt idx="17">
                  <c:v>43577</c:v>
                </c:pt>
                <c:pt idx="18">
                  <c:v>43578</c:v>
                </c:pt>
                <c:pt idx="19">
                  <c:v>43579</c:v>
                </c:pt>
                <c:pt idx="20">
                  <c:v>43580</c:v>
                </c:pt>
                <c:pt idx="21">
                  <c:v>43581</c:v>
                </c:pt>
                <c:pt idx="22">
                  <c:v>43582</c:v>
                </c:pt>
                <c:pt idx="23">
                  <c:v>43583</c:v>
                </c:pt>
                <c:pt idx="24">
                  <c:v>43584</c:v>
                </c:pt>
                <c:pt idx="25">
                  <c:v>43585</c:v>
                </c:pt>
                <c:pt idx="26">
                  <c:v>43586</c:v>
                </c:pt>
                <c:pt idx="27">
                  <c:v>43587</c:v>
                </c:pt>
                <c:pt idx="28">
                  <c:v>43588</c:v>
                </c:pt>
                <c:pt idx="29">
                  <c:v>43589</c:v>
                </c:pt>
                <c:pt idx="30">
                  <c:v>43590</c:v>
                </c:pt>
                <c:pt idx="31">
                  <c:v>43591</c:v>
                </c:pt>
                <c:pt idx="32">
                  <c:v>43592</c:v>
                </c:pt>
                <c:pt idx="33">
                  <c:v>43593</c:v>
                </c:pt>
                <c:pt idx="34">
                  <c:v>43594</c:v>
                </c:pt>
                <c:pt idx="35">
                  <c:v>43595</c:v>
                </c:pt>
                <c:pt idx="36">
                  <c:v>43596</c:v>
                </c:pt>
                <c:pt idx="37">
                  <c:v>43597</c:v>
                </c:pt>
                <c:pt idx="38">
                  <c:v>43598</c:v>
                </c:pt>
                <c:pt idx="39">
                  <c:v>43599</c:v>
                </c:pt>
                <c:pt idx="40">
                  <c:v>43600</c:v>
                </c:pt>
                <c:pt idx="41">
                  <c:v>43601</c:v>
                </c:pt>
                <c:pt idx="42">
                  <c:v>43602</c:v>
                </c:pt>
                <c:pt idx="43">
                  <c:v>43603</c:v>
                </c:pt>
                <c:pt idx="44">
                  <c:v>43604</c:v>
                </c:pt>
                <c:pt idx="45">
                  <c:v>43605</c:v>
                </c:pt>
                <c:pt idx="46">
                  <c:v>43606</c:v>
                </c:pt>
                <c:pt idx="47">
                  <c:v>43607</c:v>
                </c:pt>
                <c:pt idx="48">
                  <c:v>43608</c:v>
                </c:pt>
                <c:pt idx="49">
                  <c:v>43609</c:v>
                </c:pt>
                <c:pt idx="50">
                  <c:v>43610</c:v>
                </c:pt>
                <c:pt idx="51">
                  <c:v>43611</c:v>
                </c:pt>
                <c:pt idx="52">
                  <c:v>43612</c:v>
                </c:pt>
                <c:pt idx="53">
                  <c:v>43613</c:v>
                </c:pt>
                <c:pt idx="54">
                  <c:v>43614</c:v>
                </c:pt>
                <c:pt idx="55">
                  <c:v>43615</c:v>
                </c:pt>
                <c:pt idx="56">
                  <c:v>43616</c:v>
                </c:pt>
                <c:pt idx="57">
                  <c:v>43617</c:v>
                </c:pt>
                <c:pt idx="58">
                  <c:v>43618</c:v>
                </c:pt>
                <c:pt idx="59">
                  <c:v>43619</c:v>
                </c:pt>
                <c:pt idx="60">
                  <c:v>43620</c:v>
                </c:pt>
                <c:pt idx="61">
                  <c:v>43621</c:v>
                </c:pt>
                <c:pt idx="62">
                  <c:v>43622</c:v>
                </c:pt>
                <c:pt idx="63">
                  <c:v>43623</c:v>
                </c:pt>
                <c:pt idx="64">
                  <c:v>43624</c:v>
                </c:pt>
                <c:pt idx="65">
                  <c:v>43625</c:v>
                </c:pt>
                <c:pt idx="66">
                  <c:v>43626</c:v>
                </c:pt>
                <c:pt idx="67">
                  <c:v>43627</c:v>
                </c:pt>
                <c:pt idx="68">
                  <c:v>43628</c:v>
                </c:pt>
                <c:pt idx="69">
                  <c:v>43629</c:v>
                </c:pt>
                <c:pt idx="70">
                  <c:v>43630</c:v>
                </c:pt>
                <c:pt idx="71">
                  <c:v>43631</c:v>
                </c:pt>
                <c:pt idx="72">
                  <c:v>43632</c:v>
                </c:pt>
                <c:pt idx="73">
                  <c:v>43633</c:v>
                </c:pt>
                <c:pt idx="74">
                  <c:v>43634</c:v>
                </c:pt>
                <c:pt idx="75">
                  <c:v>43635</c:v>
                </c:pt>
                <c:pt idx="76">
                  <c:v>43636</c:v>
                </c:pt>
                <c:pt idx="77">
                  <c:v>43637</c:v>
                </c:pt>
                <c:pt idx="78">
                  <c:v>43638</c:v>
                </c:pt>
                <c:pt idx="79">
                  <c:v>43639</c:v>
                </c:pt>
                <c:pt idx="80">
                  <c:v>43640</c:v>
                </c:pt>
                <c:pt idx="81" formatCode="m/d/yyyy">
                  <c:v>43641</c:v>
                </c:pt>
                <c:pt idx="82">
                  <c:v>43642</c:v>
                </c:pt>
                <c:pt idx="83">
                  <c:v>43643</c:v>
                </c:pt>
                <c:pt idx="84">
                  <c:v>43644</c:v>
                </c:pt>
                <c:pt idx="85">
                  <c:v>43645</c:v>
                </c:pt>
                <c:pt idx="86">
                  <c:v>43646</c:v>
                </c:pt>
                <c:pt idx="87">
                  <c:v>43647</c:v>
                </c:pt>
                <c:pt idx="88">
                  <c:v>43648</c:v>
                </c:pt>
                <c:pt idx="89">
                  <c:v>43649</c:v>
                </c:pt>
                <c:pt idx="90">
                  <c:v>43650</c:v>
                </c:pt>
                <c:pt idx="91">
                  <c:v>43651</c:v>
                </c:pt>
                <c:pt idx="92">
                  <c:v>43652</c:v>
                </c:pt>
                <c:pt idx="93">
                  <c:v>43653</c:v>
                </c:pt>
                <c:pt idx="94">
                  <c:v>43654</c:v>
                </c:pt>
                <c:pt idx="95">
                  <c:v>43655</c:v>
                </c:pt>
                <c:pt idx="96">
                  <c:v>43656</c:v>
                </c:pt>
                <c:pt idx="97">
                  <c:v>43657</c:v>
                </c:pt>
                <c:pt idx="98">
                  <c:v>43658</c:v>
                </c:pt>
                <c:pt idx="99">
                  <c:v>43659</c:v>
                </c:pt>
                <c:pt idx="100">
                  <c:v>43660</c:v>
                </c:pt>
                <c:pt idx="101">
                  <c:v>43661</c:v>
                </c:pt>
                <c:pt idx="102">
                  <c:v>43662</c:v>
                </c:pt>
                <c:pt idx="103">
                  <c:v>43663</c:v>
                </c:pt>
                <c:pt idx="104">
                  <c:v>43664</c:v>
                </c:pt>
                <c:pt idx="105">
                  <c:v>43665</c:v>
                </c:pt>
                <c:pt idx="106">
                  <c:v>43666</c:v>
                </c:pt>
                <c:pt idx="107">
                  <c:v>43667</c:v>
                </c:pt>
                <c:pt idx="108">
                  <c:v>43668</c:v>
                </c:pt>
                <c:pt idx="109">
                  <c:v>43669</c:v>
                </c:pt>
                <c:pt idx="110">
                  <c:v>43670</c:v>
                </c:pt>
                <c:pt idx="111">
                  <c:v>43671</c:v>
                </c:pt>
                <c:pt idx="112">
                  <c:v>43672</c:v>
                </c:pt>
                <c:pt idx="113">
                  <c:v>43673</c:v>
                </c:pt>
                <c:pt idx="114">
                  <c:v>43674</c:v>
                </c:pt>
                <c:pt idx="115">
                  <c:v>43675</c:v>
                </c:pt>
                <c:pt idx="116">
                  <c:v>43676</c:v>
                </c:pt>
                <c:pt idx="117">
                  <c:v>43677</c:v>
                </c:pt>
                <c:pt idx="118">
                  <c:v>43678</c:v>
                </c:pt>
                <c:pt idx="119">
                  <c:v>43679</c:v>
                </c:pt>
                <c:pt idx="120">
                  <c:v>43680</c:v>
                </c:pt>
                <c:pt idx="121">
                  <c:v>43681</c:v>
                </c:pt>
              </c:numCache>
            </c:numRef>
          </c:cat>
          <c:val>
            <c:numRef>
              <c:f>'Corn Prevented Planting'!$BO$85:$BO$206</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1000</c:v>
                </c:pt>
                <c:pt idx="77">
                  <c:v>1000</c:v>
                </c:pt>
                <c:pt idx="78">
                  <c:v>1000</c:v>
                </c:pt>
                <c:pt idx="79">
                  <c:v>1000</c:v>
                </c:pt>
                <c:pt idx="80">
                  <c:v>1000</c:v>
                </c:pt>
                <c:pt idx="81">
                  <c:v>1000</c:v>
                </c:pt>
                <c:pt idx="82">
                  <c:v>1000</c:v>
                </c:pt>
                <c:pt idx="83">
                  <c:v>1000</c:v>
                </c:pt>
                <c:pt idx="84">
                  <c:v>1000</c:v>
                </c:pt>
                <c:pt idx="85">
                  <c:v>1000</c:v>
                </c:pt>
                <c:pt idx="86">
                  <c:v>1000</c:v>
                </c:pt>
                <c:pt idx="87">
                  <c:v>1000</c:v>
                </c:pt>
                <c:pt idx="88">
                  <c:v>1000</c:v>
                </c:pt>
                <c:pt idx="89">
                  <c:v>1000</c:v>
                </c:pt>
                <c:pt idx="90">
                  <c:v>1000</c:v>
                </c:pt>
                <c:pt idx="91">
                  <c:v>1000</c:v>
                </c:pt>
                <c:pt idx="92">
                  <c:v>1000</c:v>
                </c:pt>
                <c:pt idx="93">
                  <c:v>1000</c:v>
                </c:pt>
                <c:pt idx="94">
                  <c:v>1000</c:v>
                </c:pt>
                <c:pt idx="95">
                  <c:v>1000</c:v>
                </c:pt>
                <c:pt idx="96">
                  <c:v>1000</c:v>
                </c:pt>
                <c:pt idx="97">
                  <c:v>1000</c:v>
                </c:pt>
                <c:pt idx="98">
                  <c:v>1000</c:v>
                </c:pt>
                <c:pt idx="99">
                  <c:v>1000</c:v>
                </c:pt>
                <c:pt idx="100">
                  <c:v>1000</c:v>
                </c:pt>
                <c:pt idx="101">
                  <c:v>1000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2-5D68-4357-BDCC-F1B9DFBB34A7}"/>
            </c:ext>
          </c:extLst>
        </c:ser>
        <c:ser>
          <c:idx val="6"/>
          <c:order val="5"/>
          <c:tx>
            <c:strRef>
              <c:f>'Corn Prevented Planting'!$BL$83</c:f>
              <c:strCache>
                <c:ptCount val="1"/>
                <c:pt idx="0">
                  <c:v>Corn Late Planting Period</c:v>
                </c:pt>
              </c:strCache>
            </c:strRef>
          </c:tx>
          <c:spPr>
            <a:pattFill prst="pct30">
              <a:fgClr>
                <a:srgbClr val="FFC000"/>
              </a:fgClr>
              <a:bgClr>
                <a:schemeClr val="bg1"/>
              </a:bgClr>
            </a:pattFill>
          </c:spPr>
          <c:invertIfNegative val="0"/>
          <c:val>
            <c:numRef>
              <c:f>'Corn Prevented Planting'!$BL$85:$BL$206</c:f>
              <c:numCache>
                <c:formatCode>General</c:formatCode>
                <c:ptCount val="1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1000</c:v>
                </c:pt>
                <c:pt idx="57">
                  <c:v>1000</c:v>
                </c:pt>
                <c:pt idx="58">
                  <c:v>1000</c:v>
                </c:pt>
                <c:pt idx="59">
                  <c:v>1000</c:v>
                </c:pt>
                <c:pt idx="60">
                  <c:v>1000</c:v>
                </c:pt>
                <c:pt idx="61">
                  <c:v>1000</c:v>
                </c:pt>
                <c:pt idx="62">
                  <c:v>1000</c:v>
                </c:pt>
                <c:pt idx="63">
                  <c:v>1000</c:v>
                </c:pt>
                <c:pt idx="64">
                  <c:v>1000</c:v>
                </c:pt>
                <c:pt idx="65">
                  <c:v>1000</c:v>
                </c:pt>
                <c:pt idx="66">
                  <c:v>1000</c:v>
                </c:pt>
                <c:pt idx="67">
                  <c:v>1000</c:v>
                </c:pt>
                <c:pt idx="68">
                  <c:v>1000</c:v>
                </c:pt>
                <c:pt idx="69">
                  <c:v>1000</c:v>
                </c:pt>
                <c:pt idx="70">
                  <c:v>1000</c:v>
                </c:pt>
                <c:pt idx="71">
                  <c:v>1000</c:v>
                </c:pt>
                <c:pt idx="72">
                  <c:v>1000</c:v>
                </c:pt>
                <c:pt idx="73">
                  <c:v>1000</c:v>
                </c:pt>
                <c:pt idx="74">
                  <c:v>1000</c:v>
                </c:pt>
                <c:pt idx="75">
                  <c:v>1000</c:v>
                </c:pt>
                <c:pt idx="76">
                  <c:v>1000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numCache>
            </c:numRef>
          </c:val>
          <c:extLst>
            <c:ext xmlns:c16="http://schemas.microsoft.com/office/drawing/2014/chart" uri="{C3380CC4-5D6E-409C-BE32-E72D297353CC}">
              <c16:uniqueId val="{00000003-5D68-4357-BDCC-F1B9DFBB34A7}"/>
            </c:ext>
          </c:extLst>
        </c:ser>
        <c:dLbls>
          <c:showLegendKey val="0"/>
          <c:showVal val="0"/>
          <c:showCatName val="0"/>
          <c:showSerName val="0"/>
          <c:showPercent val="0"/>
          <c:showBubbleSize val="0"/>
        </c:dLbls>
        <c:gapWidth val="0"/>
        <c:overlap val="100"/>
        <c:axId val="381584336"/>
        <c:axId val="381584728"/>
      </c:barChart>
      <c:lineChart>
        <c:grouping val="standard"/>
        <c:varyColors val="0"/>
        <c:ser>
          <c:idx val="1"/>
          <c:order val="3"/>
          <c:tx>
            <c:strRef>
              <c:f>'Corn Prevented Planting'!$BG$83</c:f>
              <c:strCache>
                <c:ptCount val="1"/>
                <c:pt idx="0">
                  <c:v>Prevented Planting Payment</c:v>
                </c:pt>
              </c:strCache>
            </c:strRef>
          </c:tx>
          <c:spPr>
            <a:ln w="50800"/>
          </c:spPr>
          <c:marker>
            <c:symbol val="none"/>
          </c:marker>
          <c:val>
            <c:numRef>
              <c:f>'Corn Prevented Planting'!$BG$85:$BG$206</c:f>
              <c:numCache>
                <c:formatCode>"$"#,##0.00_);[Red]\("$"#,##0.00\)</c:formatCode>
                <c:ptCount val="1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317.39999999999998</c:v>
                </c:pt>
                <c:pt idx="77">
                  <c:v>317.39999999999998</c:v>
                </c:pt>
                <c:pt idx="78">
                  <c:v>317.39999999999998</c:v>
                </c:pt>
                <c:pt idx="79">
                  <c:v>317.39999999999998</c:v>
                </c:pt>
                <c:pt idx="80">
                  <c:v>317.39999999999998</c:v>
                </c:pt>
                <c:pt idx="81">
                  <c:v>317.39999999999998</c:v>
                </c:pt>
                <c:pt idx="82">
                  <c:v>317.39999999999998</c:v>
                </c:pt>
                <c:pt idx="83">
                  <c:v>317.39999999999998</c:v>
                </c:pt>
                <c:pt idx="84">
                  <c:v>317.39999999999998</c:v>
                </c:pt>
                <c:pt idx="85">
                  <c:v>317.39999999999998</c:v>
                </c:pt>
                <c:pt idx="86">
                  <c:v>317.39999999999998</c:v>
                </c:pt>
                <c:pt idx="87">
                  <c:v>317.39999999999998</c:v>
                </c:pt>
                <c:pt idx="88">
                  <c:v>317.39999999999998</c:v>
                </c:pt>
                <c:pt idx="89">
                  <c:v>317.39999999999998</c:v>
                </c:pt>
                <c:pt idx="90">
                  <c:v>317.39999999999998</c:v>
                </c:pt>
                <c:pt idx="91">
                  <c:v>317.39999999999998</c:v>
                </c:pt>
                <c:pt idx="92">
                  <c:v>317.39999999999998</c:v>
                </c:pt>
                <c:pt idx="93">
                  <c:v>317.39999999999998</c:v>
                </c:pt>
                <c:pt idx="94">
                  <c:v>317.39999999999998</c:v>
                </c:pt>
                <c:pt idx="95">
                  <c:v>317.39999999999998</c:v>
                </c:pt>
                <c:pt idx="96">
                  <c:v>317.39999999999998</c:v>
                </c:pt>
                <c:pt idx="97">
                  <c:v>317.39999999999998</c:v>
                </c:pt>
                <c:pt idx="98">
                  <c:v>317.39999999999998</c:v>
                </c:pt>
                <c:pt idx="99">
                  <c:v>317.39999999999998</c:v>
                </c:pt>
                <c:pt idx="100">
                  <c:v>317.39999999999998</c:v>
                </c:pt>
                <c:pt idx="101">
                  <c:v>317.39999999999998</c:v>
                </c:pt>
                <c:pt idx="102">
                  <c:v>317.39999999999998</c:v>
                </c:pt>
                <c:pt idx="103">
                  <c:v>317.39999999999998</c:v>
                </c:pt>
                <c:pt idx="104">
                  <c:v>317.39999999999998</c:v>
                </c:pt>
                <c:pt idx="105">
                  <c:v>317.39999999999998</c:v>
                </c:pt>
                <c:pt idx="106">
                  <c:v>317.39999999999998</c:v>
                </c:pt>
                <c:pt idx="107">
                  <c:v>317.39999999999998</c:v>
                </c:pt>
                <c:pt idx="108">
                  <c:v>317.39999999999998</c:v>
                </c:pt>
                <c:pt idx="109">
                  <c:v>317.39999999999998</c:v>
                </c:pt>
                <c:pt idx="110">
                  <c:v>317.39999999999998</c:v>
                </c:pt>
                <c:pt idx="111">
                  <c:v>317.39999999999998</c:v>
                </c:pt>
                <c:pt idx="112">
                  <c:v>317.39999999999998</c:v>
                </c:pt>
                <c:pt idx="113">
                  <c:v>317.39999999999998</c:v>
                </c:pt>
                <c:pt idx="114">
                  <c:v>317.39999999999998</c:v>
                </c:pt>
                <c:pt idx="115">
                  <c:v>317.39999999999998</c:v>
                </c:pt>
                <c:pt idx="116">
                  <c:v>317.39999999999998</c:v>
                </c:pt>
                <c:pt idx="117">
                  <c:v>317.39999999999998</c:v>
                </c:pt>
                <c:pt idx="118">
                  <c:v>317.39999999999998</c:v>
                </c:pt>
                <c:pt idx="119">
                  <c:v>317.39999999999998</c:v>
                </c:pt>
                <c:pt idx="120">
                  <c:v>317.39999999999998</c:v>
                </c:pt>
                <c:pt idx="121">
                  <c:v>317.39999999999998</c:v>
                </c:pt>
              </c:numCache>
            </c:numRef>
          </c:val>
          <c:smooth val="0"/>
          <c:extLst>
            <c:ext xmlns:c16="http://schemas.microsoft.com/office/drawing/2014/chart" uri="{C3380CC4-5D6E-409C-BE32-E72D297353CC}">
              <c16:uniqueId val="{00000004-5D68-4357-BDCC-F1B9DFBB34A7}"/>
            </c:ext>
          </c:extLst>
        </c:ser>
        <c:ser>
          <c:idx val="5"/>
          <c:order val="4"/>
          <c:tx>
            <c:strRef>
              <c:f>'Corn Prevented Planting'!$BI$83</c:f>
              <c:strCache>
                <c:ptCount val="1"/>
                <c:pt idx="0">
                  <c:v>Plant Corn</c:v>
                </c:pt>
              </c:strCache>
            </c:strRef>
          </c:tx>
          <c:spPr>
            <a:ln w="50800">
              <a:solidFill>
                <a:schemeClr val="accent6"/>
              </a:solidFill>
            </a:ln>
          </c:spPr>
          <c:marker>
            <c:symbol val="none"/>
          </c:marker>
          <c:val>
            <c:numRef>
              <c:f>'Corn Prevented Planting'!$BI$85:$BI$206</c:f>
              <c:numCache>
                <c:formatCode>General</c:formatCode>
                <c:ptCount val="122"/>
                <c:pt idx="0">
                  <c:v>562</c:v>
                </c:pt>
                <c:pt idx="1">
                  <c:v>562</c:v>
                </c:pt>
                <c:pt idx="2">
                  <c:v>562</c:v>
                </c:pt>
                <c:pt idx="3">
                  <c:v>562</c:v>
                </c:pt>
                <c:pt idx="4">
                  <c:v>562</c:v>
                </c:pt>
                <c:pt idx="5">
                  <c:v>562</c:v>
                </c:pt>
                <c:pt idx="6">
                  <c:v>562</c:v>
                </c:pt>
                <c:pt idx="7">
                  <c:v>562</c:v>
                </c:pt>
                <c:pt idx="8">
                  <c:v>562</c:v>
                </c:pt>
                <c:pt idx="9">
                  <c:v>562</c:v>
                </c:pt>
                <c:pt idx="10">
                  <c:v>562</c:v>
                </c:pt>
                <c:pt idx="11">
                  <c:v>560.30472726438188</c:v>
                </c:pt>
                <c:pt idx="12">
                  <c:v>558.07059998238469</c:v>
                </c:pt>
                <c:pt idx="13">
                  <c:v>555.78601817203685</c:v>
                </c:pt>
                <c:pt idx="14">
                  <c:v>553.45098180232571</c:v>
                </c:pt>
                <c:pt idx="15">
                  <c:v>551.06549089806163</c:v>
                </c:pt>
                <c:pt idx="16">
                  <c:v>548.62954544683919</c:v>
                </c:pt>
                <c:pt idx="17">
                  <c:v>546.14314544245599</c:v>
                </c:pt>
                <c:pt idx="18">
                  <c:v>543.60629090351983</c:v>
                </c:pt>
                <c:pt idx="19">
                  <c:v>541.01898180522016</c:v>
                </c:pt>
                <c:pt idx="20">
                  <c:v>538.38121817236765</c:v>
                </c:pt>
                <c:pt idx="21">
                  <c:v>535.69299998635427</c:v>
                </c:pt>
                <c:pt idx="22">
                  <c:v>532.95432725958528</c:v>
                </c:pt>
                <c:pt idx="23">
                  <c:v>530.16519997965543</c:v>
                </c:pt>
                <c:pt idx="24">
                  <c:v>527.32561817137525</c:v>
                </c:pt>
                <c:pt idx="25">
                  <c:v>524.43558180993421</c:v>
                </c:pt>
                <c:pt idx="26">
                  <c:v>521.4950908953324</c:v>
                </c:pt>
                <c:pt idx="27">
                  <c:v>518.50414544617763</c:v>
                </c:pt>
                <c:pt idx="28">
                  <c:v>515.46274543765935</c:v>
                </c:pt>
                <c:pt idx="29">
                  <c:v>512.37089090079076</c:v>
                </c:pt>
                <c:pt idx="30">
                  <c:v>509.22858180455859</c:v>
                </c:pt>
                <c:pt idx="31">
                  <c:v>506.03581817377363</c:v>
                </c:pt>
                <c:pt idx="32">
                  <c:v>502.79259998362511</c:v>
                </c:pt>
                <c:pt idx="33">
                  <c:v>499.49892725892369</c:v>
                </c:pt>
                <c:pt idx="34">
                  <c:v>496.15479999346667</c:v>
                </c:pt>
                <c:pt idx="35">
                  <c:v>492.76021816864613</c:v>
                </c:pt>
                <c:pt idx="36">
                  <c:v>489.31518180927259</c:v>
                </c:pt>
                <c:pt idx="37">
                  <c:v>485.81969089673828</c:v>
                </c:pt>
                <c:pt idx="38">
                  <c:v>482.27374544344838</c:v>
                </c:pt>
                <c:pt idx="39">
                  <c:v>478.67734543699771</c:v>
                </c:pt>
                <c:pt idx="40">
                  <c:v>475.03049089599398</c:v>
                </c:pt>
                <c:pt idx="41">
                  <c:v>471.33318180182948</c:v>
                </c:pt>
                <c:pt idx="42">
                  <c:v>467.58541817311198</c:v>
                </c:pt>
                <c:pt idx="43">
                  <c:v>463.78719997882843</c:v>
                </c:pt>
                <c:pt idx="44">
                  <c:v>459.93852726239709</c:v>
                </c:pt>
                <c:pt idx="45">
                  <c:v>456.03939999280487</c:v>
                </c:pt>
                <c:pt idx="46">
                  <c:v>452.08981817005207</c:v>
                </c:pt>
                <c:pt idx="47">
                  <c:v>448.08978181274608</c:v>
                </c:pt>
                <c:pt idx="48">
                  <c:v>444.03929089607675</c:v>
                </c:pt>
                <c:pt idx="49">
                  <c:v>439.93834544485435</c:v>
                </c:pt>
                <c:pt idx="50">
                  <c:v>435.78694544047107</c:v>
                </c:pt>
                <c:pt idx="51">
                  <c:v>431.58509089533237</c:v>
                </c:pt>
                <c:pt idx="52">
                  <c:v>427.33278180323543</c:v>
                </c:pt>
                <c:pt idx="53">
                  <c:v>423.03001817038285</c:v>
                </c:pt>
                <c:pt idx="54">
                  <c:v>418.67679999057214</c:v>
                </c:pt>
                <c:pt idx="55">
                  <c:v>414.27312725760038</c:v>
                </c:pt>
                <c:pt idx="56">
                  <c:v>409.81899999007584</c:v>
                </c:pt>
                <c:pt idx="57">
                  <c:v>405.31441816939042</c:v>
                </c:pt>
                <c:pt idx="58">
                  <c:v>400.75938180794935</c:v>
                </c:pt>
                <c:pt idx="59">
                  <c:v>396.15389089334758</c:v>
                </c:pt>
                <c:pt idx="60">
                  <c:v>391.49794544419274</c:v>
                </c:pt>
                <c:pt idx="61">
                  <c:v>386.79154543567449</c:v>
                </c:pt>
                <c:pt idx="62">
                  <c:v>382.03469089880582</c:v>
                </c:pt>
                <c:pt idx="63">
                  <c:v>377.22738181497897</c:v>
                </c:pt>
                <c:pt idx="64">
                  <c:v>372.36961816558613</c:v>
                </c:pt>
                <c:pt idx="65">
                  <c:v>367.46139999404556</c:v>
                </c:pt>
                <c:pt idx="66">
                  <c:v>362.50272725693878</c:v>
                </c:pt>
                <c:pt idx="67">
                  <c:v>357.4935999914818</c:v>
                </c:pt>
                <c:pt idx="68">
                  <c:v>352.4340181666613</c:v>
                </c:pt>
                <c:pt idx="69">
                  <c:v>347.32398180728785</c:v>
                </c:pt>
                <c:pt idx="70">
                  <c:v>342.16349089475352</c:v>
                </c:pt>
                <c:pt idx="71">
                  <c:v>336.9525454414636</c:v>
                </c:pt>
                <c:pt idx="72">
                  <c:v>331.69114543501291</c:v>
                </c:pt>
                <c:pt idx="73">
                  <c:v>326.37929089400916</c:v>
                </c:pt>
                <c:pt idx="74">
                  <c:v>321.01698181224981</c:v>
                </c:pt>
                <c:pt idx="75">
                  <c:v>315.60421816492453</c:v>
                </c:pt>
                <c:pt idx="76">
                  <c:v>310.14099998924883</c:v>
                </c:pt>
                <c:pt idx="77">
                  <c:v>304.62732726041224</c:v>
                </c:pt>
                <c:pt idx="78">
                  <c:v>299.06319999082018</c:v>
                </c:pt>
                <c:pt idx="79">
                  <c:v>293.44861816806713</c:v>
                </c:pt>
                <c:pt idx="80">
                  <c:v>287.78358180455859</c:v>
                </c:pt>
                <c:pt idx="81">
                  <c:v>282.06809089409182</c:v>
                </c:pt>
                <c:pt idx="82">
                  <c:v>276.30214544286957</c:v>
                </c:pt>
                <c:pt idx="83">
                  <c:v>270.48574545089161</c:v>
                </c:pt>
                <c:pt idx="84">
                  <c:v>264.61889089334761</c:v>
                </c:pt>
                <c:pt idx="85">
                  <c:v>258.70158180745318</c:v>
                </c:pt>
                <c:pt idx="86">
                  <c:v>252.73381816839802</c:v>
                </c:pt>
                <c:pt idx="87">
                  <c:v>246.7155999885872</c:v>
                </c:pt>
                <c:pt idx="88">
                  <c:v>240.64692725561565</c:v>
                </c:pt>
                <c:pt idx="89">
                  <c:v>234.52779998809103</c:v>
                </c:pt>
                <c:pt idx="90">
                  <c:v>228.3582181674056</c:v>
                </c:pt>
                <c:pt idx="91">
                  <c:v>222.13818180596454</c:v>
                </c:pt>
                <c:pt idx="92">
                  <c:v>215.86769090376799</c:v>
                </c:pt>
                <c:pt idx="93">
                  <c:v>209.54674544220788</c:v>
                </c:pt>
                <c:pt idx="94">
                  <c:v>203.17534544609489</c:v>
                </c:pt>
                <c:pt idx="95">
                  <c:v>198.01458181917667</c:v>
                </c:pt>
                <c:pt idx="96">
                  <c:v>198.53936363728715</c:v>
                </c:pt>
                <c:pt idx="97">
                  <c:v>199.06823636511339</c:v>
                </c:pt>
                <c:pt idx="98">
                  <c:v>199.6012000006437</c:v>
                </c:pt>
                <c:pt idx="99">
                  <c:v>200.13825454689561</c:v>
                </c:pt>
                <c:pt idx="100">
                  <c:v>200.67940000085159</c:v>
                </c:pt>
                <c:pt idx="101">
                  <c:v>201.22463636502621</c:v>
                </c:pt>
                <c:pt idx="102">
                  <c:v>201.77396363740786</c:v>
                </c:pt>
                <c:pt idx="103">
                  <c:v>202.32738181900231</c:v>
                </c:pt>
                <c:pt idx="104">
                  <c:v>202.88489091031252</c:v>
                </c:pt>
                <c:pt idx="105">
                  <c:v>203.44649090982972</c:v>
                </c:pt>
                <c:pt idx="106">
                  <c:v>204.01218181956557</c:v>
                </c:pt>
                <c:pt idx="107">
                  <c:v>204.58196363700552</c:v>
                </c:pt>
                <c:pt idx="108">
                  <c:v>205.15583636516703</c:v>
                </c:pt>
                <c:pt idx="109">
                  <c:v>205.73380000103265</c:v>
                </c:pt>
                <c:pt idx="110">
                  <c:v>206.31585454711688</c:v>
                </c:pt>
                <c:pt idx="111">
                  <c:v>206.90200000090522</c:v>
                </c:pt>
                <c:pt idx="112">
                  <c:v>207.49223636440931</c:v>
                </c:pt>
                <c:pt idx="113">
                  <c:v>208.08656363762913</c:v>
                </c:pt>
                <c:pt idx="114">
                  <c:v>208.68498181905596</c:v>
                </c:pt>
                <c:pt idx="115">
                  <c:v>209.28749091019853</c:v>
                </c:pt>
                <c:pt idx="116">
                  <c:v>209.89409091005098</c:v>
                </c:pt>
                <c:pt idx="117">
                  <c:v>210.50478181961921</c:v>
                </c:pt>
                <c:pt idx="118">
                  <c:v>211.11956363739444</c:v>
                </c:pt>
                <c:pt idx="119">
                  <c:v>211.73843636488539</c:v>
                </c:pt>
                <c:pt idx="120">
                  <c:v>212.36140000108628</c:v>
                </c:pt>
                <c:pt idx="121">
                  <c:v>212.98845454599706</c:v>
                </c:pt>
              </c:numCache>
            </c:numRef>
          </c:val>
          <c:smooth val="0"/>
          <c:extLst>
            <c:ext xmlns:c16="http://schemas.microsoft.com/office/drawing/2014/chart" uri="{C3380CC4-5D6E-409C-BE32-E72D297353CC}">
              <c16:uniqueId val="{00000005-5D68-4357-BDCC-F1B9DFBB34A7}"/>
            </c:ext>
          </c:extLst>
        </c:ser>
        <c:ser>
          <c:idx val="0"/>
          <c:order val="6"/>
          <c:tx>
            <c:strRef>
              <c:f>'Corn Prevented Planting'!$BK$83</c:f>
              <c:strCache>
                <c:ptCount val="1"/>
                <c:pt idx="0">
                  <c:v>Switch to Soybeans</c:v>
                </c:pt>
              </c:strCache>
            </c:strRef>
          </c:tx>
          <c:spPr>
            <a:ln w="50800"/>
          </c:spPr>
          <c:marker>
            <c:symbol val="none"/>
          </c:marker>
          <c:val>
            <c:numRef>
              <c:f>'Corn Prevented Planting'!$BK$85:$BK$206</c:f>
              <c:numCache>
                <c:formatCode>General</c:formatCode>
                <c:ptCount val="1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428.77275508902966</c:v>
                </c:pt>
                <c:pt idx="16">
                  <c:v>430.28894556751476</c:v>
                </c:pt>
                <c:pt idx="17">
                  <c:v>431.70360544510186</c:v>
                </c:pt>
                <c:pt idx="18">
                  <c:v>433.01673470325767</c:v>
                </c:pt>
                <c:pt idx="19">
                  <c:v>434.22833330491557</c:v>
                </c:pt>
                <c:pt idx="20">
                  <c:v>435.3384013242088</c:v>
                </c:pt>
                <c:pt idx="21">
                  <c:v>436.3469387426041</c:v>
                </c:pt>
                <c:pt idx="22">
                  <c:v>437.25394556010144</c:v>
                </c:pt>
                <c:pt idx="23">
                  <c:v>438.05942175816745</c:v>
                </c:pt>
                <c:pt idx="24">
                  <c:v>438.76336733680216</c:v>
                </c:pt>
                <c:pt idx="25">
                  <c:v>439.36578229600565</c:v>
                </c:pt>
                <c:pt idx="26">
                  <c:v>439.86666665431113</c:v>
                </c:pt>
                <c:pt idx="27">
                  <c:v>440.26602041171861</c:v>
                </c:pt>
                <c:pt idx="28">
                  <c:v>440.56384353116152</c:v>
                </c:pt>
                <c:pt idx="29">
                  <c:v>440.76013604970649</c:v>
                </c:pt>
                <c:pt idx="30">
                  <c:v>440.85489796735345</c:v>
                </c:pt>
                <c:pt idx="31">
                  <c:v>440.8481292285025</c:v>
                </c:pt>
                <c:pt idx="32">
                  <c:v>440.73982990728689</c:v>
                </c:pt>
                <c:pt idx="33">
                  <c:v>440.52999998517333</c:v>
                </c:pt>
                <c:pt idx="34">
                  <c:v>440.21863944362849</c:v>
                </c:pt>
                <c:pt idx="35">
                  <c:v>439.80574828265236</c:v>
                </c:pt>
                <c:pt idx="36">
                  <c:v>439.29132652077823</c:v>
                </c:pt>
                <c:pt idx="37">
                  <c:v>438.67537413947286</c:v>
                </c:pt>
                <c:pt idx="38">
                  <c:v>437.9578911572695</c:v>
                </c:pt>
                <c:pt idx="39">
                  <c:v>437.13887755563485</c:v>
                </c:pt>
                <c:pt idx="40">
                  <c:v>436.21833333456891</c:v>
                </c:pt>
                <c:pt idx="41">
                  <c:v>435.19625851260497</c:v>
                </c:pt>
                <c:pt idx="42">
                  <c:v>434.0726530712098</c:v>
                </c:pt>
                <c:pt idx="43">
                  <c:v>432.84751697331666</c:v>
                </c:pt>
                <c:pt idx="44">
                  <c:v>431.5208503115922</c:v>
                </c:pt>
                <c:pt idx="45">
                  <c:v>430.09265303043651</c:v>
                </c:pt>
                <c:pt idx="46">
                  <c:v>428.56292514838276</c:v>
                </c:pt>
                <c:pt idx="47">
                  <c:v>426.93166664689778</c:v>
                </c:pt>
                <c:pt idx="48">
                  <c:v>425.19887754451486</c:v>
                </c:pt>
                <c:pt idx="49">
                  <c:v>423.36455782270059</c:v>
                </c:pt>
                <c:pt idx="50">
                  <c:v>421.42870748145504</c:v>
                </c:pt>
                <c:pt idx="51">
                  <c:v>419.39132652077825</c:v>
                </c:pt>
                <c:pt idx="52">
                  <c:v>417.25241495920346</c:v>
                </c:pt>
                <c:pt idx="53">
                  <c:v>415.01197279673067</c:v>
                </c:pt>
                <c:pt idx="54">
                  <c:v>412.66999997776003</c:v>
                </c:pt>
                <c:pt idx="55">
                  <c:v>410.22649657642467</c:v>
                </c:pt>
                <c:pt idx="56">
                  <c:v>407.68146255565807</c:v>
                </c:pt>
                <c:pt idx="57">
                  <c:v>405.03489793399348</c:v>
                </c:pt>
                <c:pt idx="58">
                  <c:v>402.28680271143094</c:v>
                </c:pt>
                <c:pt idx="59">
                  <c:v>399.43717685090377</c:v>
                </c:pt>
                <c:pt idx="60">
                  <c:v>396.48602038947865</c:v>
                </c:pt>
                <c:pt idx="61">
                  <c:v>393.43333332715554</c:v>
                </c:pt>
                <c:pt idx="62">
                  <c:v>390.27911564540119</c:v>
                </c:pt>
                <c:pt idx="63">
                  <c:v>387.0233673442155</c:v>
                </c:pt>
                <c:pt idx="64">
                  <c:v>383.66608844213187</c:v>
                </c:pt>
                <c:pt idx="65">
                  <c:v>380.20727892061694</c:v>
                </c:pt>
                <c:pt idx="66">
                  <c:v>376.64693874260411</c:v>
                </c:pt>
                <c:pt idx="67">
                  <c:v>372.98506800075995</c:v>
                </c:pt>
                <c:pt idx="68">
                  <c:v>369.22166663948445</c:v>
                </c:pt>
                <c:pt idx="69">
                  <c:v>365.35673467731101</c:v>
                </c:pt>
                <c:pt idx="70">
                  <c:v>361.39027209570634</c:v>
                </c:pt>
                <c:pt idx="71">
                  <c:v>357.32227889467032</c:v>
                </c:pt>
                <c:pt idx="72">
                  <c:v>353.15275509273636</c:v>
                </c:pt>
                <c:pt idx="73">
                  <c:v>348.88170067137105</c:v>
                </c:pt>
                <c:pt idx="74">
                  <c:v>344.50911564910786</c:v>
                </c:pt>
                <c:pt idx="75">
                  <c:v>340.03500000741332</c:v>
                </c:pt>
                <c:pt idx="76">
                  <c:v>335.45935374628755</c:v>
                </c:pt>
                <c:pt idx="77">
                  <c:v>461.27217688426379</c:v>
                </c:pt>
                <c:pt idx="78">
                  <c:v>456.49346936574204</c:v>
                </c:pt>
                <c:pt idx="79">
                  <c:v>451.6132312648557</c:v>
                </c:pt>
                <c:pt idx="80">
                  <c:v>446.63146256307141</c:v>
                </c:pt>
                <c:pt idx="81">
                  <c:v>441.54816324185583</c:v>
                </c:pt>
                <c:pt idx="82">
                  <c:v>436.36333331974225</c:v>
                </c:pt>
                <c:pt idx="83">
                  <c:v>431.07697277819739</c:v>
                </c:pt>
                <c:pt idx="84">
                  <c:v>425.68908161722123</c:v>
                </c:pt>
                <c:pt idx="85">
                  <c:v>420.19965985534714</c:v>
                </c:pt>
                <c:pt idx="86">
                  <c:v>414.60870747404175</c:v>
                </c:pt>
                <c:pt idx="87">
                  <c:v>408.91622449183836</c:v>
                </c:pt>
                <c:pt idx="88">
                  <c:v>403.12221089020375</c:v>
                </c:pt>
                <c:pt idx="89">
                  <c:v>397.22666663207116</c:v>
                </c:pt>
                <c:pt idx="90">
                  <c:v>391.22959181010725</c:v>
                </c:pt>
                <c:pt idx="91">
                  <c:v>385.13098636871194</c:v>
                </c:pt>
                <c:pt idx="92">
                  <c:v>378.93085032641886</c:v>
                </c:pt>
                <c:pt idx="93">
                  <c:v>372.6291836461611</c:v>
                </c:pt>
                <c:pt idx="94">
                  <c:v>368.05525170022628</c:v>
                </c:pt>
                <c:pt idx="95">
                  <c:v>364.41221768623222</c:v>
                </c:pt>
                <c:pt idx="96">
                  <c:v>360.76500000000004</c:v>
                </c:pt>
                <c:pt idx="97">
                  <c:v>357.11359863923866</c:v>
                </c:pt>
                <c:pt idx="98">
                  <c:v>353.45801360547534</c:v>
                </c:pt>
                <c:pt idx="99">
                  <c:v>349.79824489794674</c:v>
                </c:pt>
                <c:pt idx="100">
                  <c:v>346.13429251741621</c:v>
                </c:pt>
                <c:pt idx="101">
                  <c:v>342.46615646159273</c:v>
                </c:pt>
                <c:pt idx="102">
                  <c:v>311.34530609423297</c:v>
                </c:pt>
                <c:pt idx="103">
                  <c:v>304.02833331232893</c:v>
                </c:pt>
                <c:pt idx="104">
                  <c:v>296.6098299109936</c:v>
                </c:pt>
                <c:pt idx="105">
                  <c:v>290.62677550980823</c:v>
                </c:pt>
                <c:pt idx="106">
                  <c:v>290.31272108821202</c:v>
                </c:pt>
                <c:pt idx="107">
                  <c:v>289.99448299285029</c:v>
                </c:pt>
                <c:pt idx="108">
                  <c:v>289.6720612244867</c:v>
                </c:pt>
                <c:pt idx="109">
                  <c:v>289.34545578235759</c:v>
                </c:pt>
                <c:pt idx="110">
                  <c:v>289.01466666646303</c:v>
                </c:pt>
                <c:pt idx="111">
                  <c:v>288.67969387756659</c:v>
                </c:pt>
                <c:pt idx="112">
                  <c:v>288.34053741490465</c:v>
                </c:pt>
                <c:pt idx="113">
                  <c:v>287.99719727771355</c:v>
                </c:pt>
                <c:pt idx="114">
                  <c:v>287.64967346828428</c:v>
                </c:pt>
                <c:pt idx="115">
                  <c:v>287.29796598508955</c:v>
                </c:pt>
                <c:pt idx="116">
                  <c:v>286.94207482889288</c:v>
                </c:pt>
                <c:pt idx="117">
                  <c:v>286.58199999969446</c:v>
                </c:pt>
                <c:pt idx="118">
                  <c:v>286.21774149596683</c:v>
                </c:pt>
                <c:pt idx="119">
                  <c:v>285.84929931923745</c:v>
                </c:pt>
                <c:pt idx="120">
                  <c:v>285.47667346874249</c:v>
                </c:pt>
                <c:pt idx="121">
                  <c:v>285.09986394524572</c:v>
                </c:pt>
              </c:numCache>
            </c:numRef>
          </c:val>
          <c:smooth val="0"/>
          <c:extLst>
            <c:ext xmlns:c16="http://schemas.microsoft.com/office/drawing/2014/chart" uri="{C3380CC4-5D6E-409C-BE32-E72D297353CC}">
              <c16:uniqueId val="{00000006-5D68-4357-BDCC-F1B9DFBB34A7}"/>
            </c:ext>
          </c:extLst>
        </c:ser>
        <c:dLbls>
          <c:showLegendKey val="0"/>
          <c:showVal val="0"/>
          <c:showCatName val="0"/>
          <c:showSerName val="0"/>
          <c:showPercent val="0"/>
          <c:showBubbleSize val="0"/>
        </c:dLbls>
        <c:marker val="1"/>
        <c:smooth val="0"/>
        <c:axId val="381584336"/>
        <c:axId val="381584728"/>
      </c:lineChart>
      <c:catAx>
        <c:axId val="381584336"/>
        <c:scaling>
          <c:orientation val="minMax"/>
        </c:scaling>
        <c:delete val="0"/>
        <c:axPos val="b"/>
        <c:numFmt formatCode="d\-mmm" sourceLinked="1"/>
        <c:majorTickMark val="out"/>
        <c:minorTickMark val="none"/>
        <c:tickLblPos val="nextTo"/>
        <c:txPr>
          <a:bodyPr rot="-1260000"/>
          <a:lstStyle/>
          <a:p>
            <a:pPr>
              <a:defRPr sz="1400"/>
            </a:pPr>
            <a:endParaRPr lang="en-US"/>
          </a:p>
        </c:txPr>
        <c:crossAx val="381584728"/>
        <c:crosses val="autoZero"/>
        <c:auto val="1"/>
        <c:lblAlgn val="ctr"/>
        <c:lblOffset val="100"/>
        <c:tickLblSkip val="7"/>
        <c:tickMarkSkip val="7"/>
        <c:noMultiLvlLbl val="0"/>
      </c:catAx>
      <c:valAx>
        <c:axId val="381584728"/>
        <c:scaling>
          <c:orientation val="minMax"/>
        </c:scaling>
        <c:delete val="0"/>
        <c:axPos val="l"/>
        <c:majorGridlines/>
        <c:title>
          <c:tx>
            <c:rich>
              <a:bodyPr rot="-5400000" vert="horz"/>
              <a:lstStyle/>
              <a:p>
                <a:pPr>
                  <a:defRPr sz="1400"/>
                </a:pPr>
                <a:r>
                  <a:rPr lang="en-US" sz="1400"/>
                  <a:t>Net Income Per Acre</a:t>
                </a:r>
              </a:p>
            </c:rich>
          </c:tx>
          <c:overlay val="0"/>
        </c:title>
        <c:numFmt formatCode="&quot;$&quot;#,##0" sourceLinked="0"/>
        <c:majorTickMark val="out"/>
        <c:minorTickMark val="none"/>
        <c:tickLblPos val="nextTo"/>
        <c:txPr>
          <a:bodyPr/>
          <a:lstStyle/>
          <a:p>
            <a:pPr>
              <a:defRPr sz="1400"/>
            </a:pPr>
            <a:endParaRPr lang="en-US"/>
          </a:p>
        </c:txPr>
        <c:crossAx val="381584336"/>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Comparison of Options For</a:t>
            </a:r>
            <a:r>
              <a:rPr lang="en-US" baseline="0"/>
              <a:t> When Soybeans  is Planted and Subsequently Damaged</a:t>
            </a:r>
            <a:endParaRPr lang="en-US"/>
          </a:p>
        </c:rich>
      </c:tx>
      <c:overlay val="0"/>
    </c:title>
    <c:autoTitleDeleted val="0"/>
    <c:plotArea>
      <c:layout/>
      <c:barChart>
        <c:barDir val="col"/>
        <c:grouping val="clustered"/>
        <c:varyColors val="0"/>
        <c:ser>
          <c:idx val="3"/>
          <c:order val="0"/>
          <c:tx>
            <c:strRef>
              <c:f>'Soybeans Already Planted'!$BN$82</c:f>
              <c:strCache>
                <c:ptCount val="1"/>
                <c:pt idx="0">
                  <c:v>SB Initial Planting Date</c:v>
                </c:pt>
              </c:strCache>
            </c:strRef>
          </c:tx>
          <c:spPr>
            <a:solidFill>
              <a:schemeClr val="accent3">
                <a:lumMod val="50000"/>
              </a:schemeClr>
            </a:solidFill>
          </c:spPr>
          <c:invertIfNegative val="0"/>
          <c:cat>
            <c:numRef>
              <c:f>'Soybeans Already Planted'!$BH$84:$BH$218</c:f>
              <c:numCache>
                <c:formatCode>d\-mmm</c:formatCode>
                <c:ptCount val="135"/>
                <c:pt idx="0">
                  <c:v>43575</c:v>
                </c:pt>
                <c:pt idx="1">
                  <c:v>43576</c:v>
                </c:pt>
                <c:pt idx="2">
                  <c:v>43577</c:v>
                </c:pt>
                <c:pt idx="3">
                  <c:v>43578</c:v>
                </c:pt>
                <c:pt idx="4">
                  <c:v>43579</c:v>
                </c:pt>
                <c:pt idx="5">
                  <c:v>43580</c:v>
                </c:pt>
                <c:pt idx="6">
                  <c:v>43581</c:v>
                </c:pt>
                <c:pt idx="7">
                  <c:v>43582</c:v>
                </c:pt>
                <c:pt idx="8">
                  <c:v>43583</c:v>
                </c:pt>
                <c:pt idx="9">
                  <c:v>43584</c:v>
                </c:pt>
                <c:pt idx="10">
                  <c:v>43585</c:v>
                </c:pt>
                <c:pt idx="11">
                  <c:v>43586</c:v>
                </c:pt>
                <c:pt idx="12">
                  <c:v>43587</c:v>
                </c:pt>
                <c:pt idx="13">
                  <c:v>43588</c:v>
                </c:pt>
                <c:pt idx="14">
                  <c:v>43589</c:v>
                </c:pt>
                <c:pt idx="15">
                  <c:v>43590</c:v>
                </c:pt>
                <c:pt idx="16">
                  <c:v>43591</c:v>
                </c:pt>
                <c:pt idx="17">
                  <c:v>43592</c:v>
                </c:pt>
                <c:pt idx="18">
                  <c:v>43593</c:v>
                </c:pt>
                <c:pt idx="19">
                  <c:v>43594</c:v>
                </c:pt>
                <c:pt idx="20">
                  <c:v>43595</c:v>
                </c:pt>
                <c:pt idx="21">
                  <c:v>43596</c:v>
                </c:pt>
                <c:pt idx="22">
                  <c:v>43597</c:v>
                </c:pt>
                <c:pt idx="23">
                  <c:v>43598</c:v>
                </c:pt>
                <c:pt idx="24">
                  <c:v>43599</c:v>
                </c:pt>
                <c:pt idx="25">
                  <c:v>43600</c:v>
                </c:pt>
                <c:pt idx="26">
                  <c:v>43601</c:v>
                </c:pt>
                <c:pt idx="27">
                  <c:v>43602</c:v>
                </c:pt>
                <c:pt idx="28">
                  <c:v>43603</c:v>
                </c:pt>
                <c:pt idx="29">
                  <c:v>43604</c:v>
                </c:pt>
                <c:pt idx="30">
                  <c:v>43605</c:v>
                </c:pt>
                <c:pt idx="31">
                  <c:v>43606</c:v>
                </c:pt>
                <c:pt idx="32">
                  <c:v>43607</c:v>
                </c:pt>
                <c:pt idx="33">
                  <c:v>43608</c:v>
                </c:pt>
                <c:pt idx="34">
                  <c:v>43609</c:v>
                </c:pt>
                <c:pt idx="35">
                  <c:v>43610</c:v>
                </c:pt>
                <c:pt idx="36">
                  <c:v>43611</c:v>
                </c:pt>
                <c:pt idx="37">
                  <c:v>43612</c:v>
                </c:pt>
                <c:pt idx="38">
                  <c:v>43613</c:v>
                </c:pt>
                <c:pt idx="39">
                  <c:v>43614</c:v>
                </c:pt>
                <c:pt idx="40">
                  <c:v>43615</c:v>
                </c:pt>
                <c:pt idx="41">
                  <c:v>43616</c:v>
                </c:pt>
                <c:pt idx="42">
                  <c:v>43617</c:v>
                </c:pt>
                <c:pt idx="43">
                  <c:v>43618</c:v>
                </c:pt>
                <c:pt idx="44">
                  <c:v>43619</c:v>
                </c:pt>
                <c:pt idx="45">
                  <c:v>43620</c:v>
                </c:pt>
                <c:pt idx="46">
                  <c:v>43621</c:v>
                </c:pt>
                <c:pt idx="47">
                  <c:v>43622</c:v>
                </c:pt>
                <c:pt idx="48">
                  <c:v>43623</c:v>
                </c:pt>
                <c:pt idx="49">
                  <c:v>43624</c:v>
                </c:pt>
                <c:pt idx="50">
                  <c:v>43625</c:v>
                </c:pt>
                <c:pt idx="51">
                  <c:v>43626</c:v>
                </c:pt>
                <c:pt idx="52">
                  <c:v>43627</c:v>
                </c:pt>
                <c:pt idx="53">
                  <c:v>43628</c:v>
                </c:pt>
                <c:pt idx="54">
                  <c:v>43629</c:v>
                </c:pt>
                <c:pt idx="55">
                  <c:v>43630</c:v>
                </c:pt>
                <c:pt idx="56">
                  <c:v>43631</c:v>
                </c:pt>
                <c:pt idx="57">
                  <c:v>43632</c:v>
                </c:pt>
                <c:pt idx="58">
                  <c:v>43633</c:v>
                </c:pt>
                <c:pt idx="59">
                  <c:v>43634</c:v>
                </c:pt>
                <c:pt idx="60">
                  <c:v>43635</c:v>
                </c:pt>
                <c:pt idx="61">
                  <c:v>43636</c:v>
                </c:pt>
                <c:pt idx="62">
                  <c:v>43637</c:v>
                </c:pt>
                <c:pt idx="63">
                  <c:v>43638</c:v>
                </c:pt>
                <c:pt idx="64">
                  <c:v>43639</c:v>
                </c:pt>
                <c:pt idx="65">
                  <c:v>43640</c:v>
                </c:pt>
                <c:pt idx="66">
                  <c:v>43641</c:v>
                </c:pt>
                <c:pt idx="67">
                  <c:v>43642</c:v>
                </c:pt>
                <c:pt idx="68">
                  <c:v>43643</c:v>
                </c:pt>
                <c:pt idx="69">
                  <c:v>43644</c:v>
                </c:pt>
                <c:pt idx="70">
                  <c:v>43645</c:v>
                </c:pt>
                <c:pt idx="71">
                  <c:v>43646</c:v>
                </c:pt>
                <c:pt idx="72">
                  <c:v>43647</c:v>
                </c:pt>
                <c:pt idx="73">
                  <c:v>43648</c:v>
                </c:pt>
                <c:pt idx="74">
                  <c:v>43649</c:v>
                </c:pt>
                <c:pt idx="75">
                  <c:v>43650</c:v>
                </c:pt>
                <c:pt idx="76">
                  <c:v>43651</c:v>
                </c:pt>
                <c:pt idx="77">
                  <c:v>43652</c:v>
                </c:pt>
                <c:pt idx="78">
                  <c:v>43653</c:v>
                </c:pt>
                <c:pt idx="79">
                  <c:v>43654</c:v>
                </c:pt>
                <c:pt idx="80">
                  <c:v>43655</c:v>
                </c:pt>
                <c:pt idx="81">
                  <c:v>43656</c:v>
                </c:pt>
                <c:pt idx="82">
                  <c:v>43657</c:v>
                </c:pt>
                <c:pt idx="83">
                  <c:v>43658</c:v>
                </c:pt>
                <c:pt idx="84">
                  <c:v>43659</c:v>
                </c:pt>
                <c:pt idx="85">
                  <c:v>43660</c:v>
                </c:pt>
                <c:pt idx="86">
                  <c:v>43661</c:v>
                </c:pt>
                <c:pt idx="87">
                  <c:v>43662</c:v>
                </c:pt>
                <c:pt idx="88">
                  <c:v>43663</c:v>
                </c:pt>
                <c:pt idx="89">
                  <c:v>43664</c:v>
                </c:pt>
                <c:pt idx="90">
                  <c:v>43665</c:v>
                </c:pt>
                <c:pt idx="91">
                  <c:v>43666</c:v>
                </c:pt>
                <c:pt idx="92">
                  <c:v>43667</c:v>
                </c:pt>
                <c:pt idx="93">
                  <c:v>43668</c:v>
                </c:pt>
                <c:pt idx="94">
                  <c:v>43669</c:v>
                </c:pt>
                <c:pt idx="95">
                  <c:v>43670</c:v>
                </c:pt>
                <c:pt idx="96">
                  <c:v>43671</c:v>
                </c:pt>
                <c:pt idx="97">
                  <c:v>43672</c:v>
                </c:pt>
                <c:pt idx="98">
                  <c:v>43673</c:v>
                </c:pt>
                <c:pt idx="99">
                  <c:v>43674</c:v>
                </c:pt>
                <c:pt idx="100">
                  <c:v>43675</c:v>
                </c:pt>
                <c:pt idx="101">
                  <c:v>43676</c:v>
                </c:pt>
                <c:pt idx="102">
                  <c:v>43677</c:v>
                </c:pt>
                <c:pt idx="103">
                  <c:v>43678</c:v>
                </c:pt>
                <c:pt idx="104">
                  <c:v>43679</c:v>
                </c:pt>
                <c:pt idx="105">
                  <c:v>43680</c:v>
                </c:pt>
                <c:pt idx="106">
                  <c:v>43681</c:v>
                </c:pt>
                <c:pt idx="107">
                  <c:v>43682</c:v>
                </c:pt>
                <c:pt idx="108">
                  <c:v>43683</c:v>
                </c:pt>
                <c:pt idx="109">
                  <c:v>43684</c:v>
                </c:pt>
                <c:pt idx="110">
                  <c:v>43685</c:v>
                </c:pt>
                <c:pt idx="111">
                  <c:v>43686</c:v>
                </c:pt>
                <c:pt idx="112">
                  <c:v>43687</c:v>
                </c:pt>
                <c:pt idx="113">
                  <c:v>43688</c:v>
                </c:pt>
                <c:pt idx="114">
                  <c:v>43689</c:v>
                </c:pt>
                <c:pt idx="115">
                  <c:v>43690</c:v>
                </c:pt>
                <c:pt idx="116">
                  <c:v>43691</c:v>
                </c:pt>
                <c:pt idx="117">
                  <c:v>43692</c:v>
                </c:pt>
                <c:pt idx="118">
                  <c:v>43693</c:v>
                </c:pt>
                <c:pt idx="119">
                  <c:v>43694</c:v>
                </c:pt>
                <c:pt idx="120">
                  <c:v>43695</c:v>
                </c:pt>
                <c:pt idx="121">
                  <c:v>43696</c:v>
                </c:pt>
                <c:pt idx="122">
                  <c:v>43697</c:v>
                </c:pt>
                <c:pt idx="123">
                  <c:v>43698</c:v>
                </c:pt>
                <c:pt idx="124">
                  <c:v>43699</c:v>
                </c:pt>
                <c:pt idx="125">
                  <c:v>43700</c:v>
                </c:pt>
                <c:pt idx="126">
                  <c:v>43701</c:v>
                </c:pt>
                <c:pt idx="127">
                  <c:v>43702</c:v>
                </c:pt>
                <c:pt idx="128">
                  <c:v>43703</c:v>
                </c:pt>
                <c:pt idx="129">
                  <c:v>43704</c:v>
                </c:pt>
                <c:pt idx="130">
                  <c:v>43705</c:v>
                </c:pt>
                <c:pt idx="131">
                  <c:v>43706</c:v>
                </c:pt>
                <c:pt idx="132">
                  <c:v>43707</c:v>
                </c:pt>
                <c:pt idx="133">
                  <c:v>43708</c:v>
                </c:pt>
                <c:pt idx="134">
                  <c:v>43709</c:v>
                </c:pt>
              </c:numCache>
            </c:numRef>
          </c:cat>
          <c:val>
            <c:numRef>
              <c:f>'Soybeans Already Planted'!$BN$84:$BN$218</c:f>
              <c:numCache>
                <c:formatCode>General</c:formatCode>
                <c:ptCount val="135"/>
                <c:pt idx="0">
                  <c:v>1000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numCache>
            </c:numRef>
          </c:val>
          <c:extLst>
            <c:ext xmlns:c16="http://schemas.microsoft.com/office/drawing/2014/chart" uri="{C3380CC4-5D6E-409C-BE32-E72D297353CC}">
              <c16:uniqueId val="{00000000-C9C3-4E6D-B457-CE6B664A16FF}"/>
            </c:ext>
          </c:extLst>
        </c:ser>
        <c:ser>
          <c:idx val="4"/>
          <c:order val="1"/>
          <c:tx>
            <c:strRef>
              <c:f>'Soybeans Already Planted'!$BO$82</c:f>
              <c:strCache>
                <c:ptCount val="1"/>
                <c:pt idx="0">
                  <c:v>SB Late Planting Period</c:v>
                </c:pt>
              </c:strCache>
            </c:strRef>
          </c:tx>
          <c:spPr>
            <a:pattFill prst="diagBrick">
              <a:fgClr>
                <a:schemeClr val="tx2">
                  <a:lumMod val="40000"/>
                  <a:lumOff val="60000"/>
                </a:schemeClr>
              </a:fgClr>
              <a:bgClr>
                <a:schemeClr val="bg1"/>
              </a:bgClr>
            </a:pattFill>
          </c:spPr>
          <c:invertIfNegative val="0"/>
          <c:cat>
            <c:numRef>
              <c:f>'Soybeans Already Planted'!$BH$84:$BH$218</c:f>
              <c:numCache>
                <c:formatCode>d\-mmm</c:formatCode>
                <c:ptCount val="135"/>
                <c:pt idx="0">
                  <c:v>43575</c:v>
                </c:pt>
                <c:pt idx="1">
                  <c:v>43576</c:v>
                </c:pt>
                <c:pt idx="2">
                  <c:v>43577</c:v>
                </c:pt>
                <c:pt idx="3">
                  <c:v>43578</c:v>
                </c:pt>
                <c:pt idx="4">
                  <c:v>43579</c:v>
                </c:pt>
                <c:pt idx="5">
                  <c:v>43580</c:v>
                </c:pt>
                <c:pt idx="6">
                  <c:v>43581</c:v>
                </c:pt>
                <c:pt idx="7">
                  <c:v>43582</c:v>
                </c:pt>
                <c:pt idx="8">
                  <c:v>43583</c:v>
                </c:pt>
                <c:pt idx="9">
                  <c:v>43584</c:v>
                </c:pt>
                <c:pt idx="10">
                  <c:v>43585</c:v>
                </c:pt>
                <c:pt idx="11">
                  <c:v>43586</c:v>
                </c:pt>
                <c:pt idx="12">
                  <c:v>43587</c:v>
                </c:pt>
                <c:pt idx="13">
                  <c:v>43588</c:v>
                </c:pt>
                <c:pt idx="14">
                  <c:v>43589</c:v>
                </c:pt>
                <c:pt idx="15">
                  <c:v>43590</c:v>
                </c:pt>
                <c:pt idx="16">
                  <c:v>43591</c:v>
                </c:pt>
                <c:pt idx="17">
                  <c:v>43592</c:v>
                </c:pt>
                <c:pt idx="18">
                  <c:v>43593</c:v>
                </c:pt>
                <c:pt idx="19">
                  <c:v>43594</c:v>
                </c:pt>
                <c:pt idx="20">
                  <c:v>43595</c:v>
                </c:pt>
                <c:pt idx="21">
                  <c:v>43596</c:v>
                </c:pt>
                <c:pt idx="22">
                  <c:v>43597</c:v>
                </c:pt>
                <c:pt idx="23">
                  <c:v>43598</c:v>
                </c:pt>
                <c:pt idx="24">
                  <c:v>43599</c:v>
                </c:pt>
                <c:pt idx="25">
                  <c:v>43600</c:v>
                </c:pt>
                <c:pt idx="26">
                  <c:v>43601</c:v>
                </c:pt>
                <c:pt idx="27">
                  <c:v>43602</c:v>
                </c:pt>
                <c:pt idx="28">
                  <c:v>43603</c:v>
                </c:pt>
                <c:pt idx="29">
                  <c:v>43604</c:v>
                </c:pt>
                <c:pt idx="30">
                  <c:v>43605</c:v>
                </c:pt>
                <c:pt idx="31">
                  <c:v>43606</c:v>
                </c:pt>
                <c:pt idx="32">
                  <c:v>43607</c:v>
                </c:pt>
                <c:pt idx="33">
                  <c:v>43608</c:v>
                </c:pt>
                <c:pt idx="34">
                  <c:v>43609</c:v>
                </c:pt>
                <c:pt idx="35">
                  <c:v>43610</c:v>
                </c:pt>
                <c:pt idx="36">
                  <c:v>43611</c:v>
                </c:pt>
                <c:pt idx="37">
                  <c:v>43612</c:v>
                </c:pt>
                <c:pt idx="38">
                  <c:v>43613</c:v>
                </c:pt>
                <c:pt idx="39">
                  <c:v>43614</c:v>
                </c:pt>
                <c:pt idx="40">
                  <c:v>43615</c:v>
                </c:pt>
                <c:pt idx="41">
                  <c:v>43616</c:v>
                </c:pt>
                <c:pt idx="42">
                  <c:v>43617</c:v>
                </c:pt>
                <c:pt idx="43">
                  <c:v>43618</c:v>
                </c:pt>
                <c:pt idx="44">
                  <c:v>43619</c:v>
                </c:pt>
                <c:pt idx="45">
                  <c:v>43620</c:v>
                </c:pt>
                <c:pt idx="46">
                  <c:v>43621</c:v>
                </c:pt>
                <c:pt idx="47">
                  <c:v>43622</c:v>
                </c:pt>
                <c:pt idx="48">
                  <c:v>43623</c:v>
                </c:pt>
                <c:pt idx="49">
                  <c:v>43624</c:v>
                </c:pt>
                <c:pt idx="50">
                  <c:v>43625</c:v>
                </c:pt>
                <c:pt idx="51">
                  <c:v>43626</c:v>
                </c:pt>
                <c:pt idx="52">
                  <c:v>43627</c:v>
                </c:pt>
                <c:pt idx="53">
                  <c:v>43628</c:v>
                </c:pt>
                <c:pt idx="54">
                  <c:v>43629</c:v>
                </c:pt>
                <c:pt idx="55">
                  <c:v>43630</c:v>
                </c:pt>
                <c:pt idx="56">
                  <c:v>43631</c:v>
                </c:pt>
                <c:pt idx="57">
                  <c:v>43632</c:v>
                </c:pt>
                <c:pt idx="58">
                  <c:v>43633</c:v>
                </c:pt>
                <c:pt idx="59">
                  <c:v>43634</c:v>
                </c:pt>
                <c:pt idx="60">
                  <c:v>43635</c:v>
                </c:pt>
                <c:pt idx="61">
                  <c:v>43636</c:v>
                </c:pt>
                <c:pt idx="62">
                  <c:v>43637</c:v>
                </c:pt>
                <c:pt idx="63">
                  <c:v>43638</c:v>
                </c:pt>
                <c:pt idx="64">
                  <c:v>43639</c:v>
                </c:pt>
                <c:pt idx="65">
                  <c:v>43640</c:v>
                </c:pt>
                <c:pt idx="66">
                  <c:v>43641</c:v>
                </c:pt>
                <c:pt idx="67">
                  <c:v>43642</c:v>
                </c:pt>
                <c:pt idx="68">
                  <c:v>43643</c:v>
                </c:pt>
                <c:pt idx="69">
                  <c:v>43644</c:v>
                </c:pt>
                <c:pt idx="70">
                  <c:v>43645</c:v>
                </c:pt>
                <c:pt idx="71">
                  <c:v>43646</c:v>
                </c:pt>
                <c:pt idx="72">
                  <c:v>43647</c:v>
                </c:pt>
                <c:pt idx="73">
                  <c:v>43648</c:v>
                </c:pt>
                <c:pt idx="74">
                  <c:v>43649</c:v>
                </c:pt>
                <c:pt idx="75">
                  <c:v>43650</c:v>
                </c:pt>
                <c:pt idx="76">
                  <c:v>43651</c:v>
                </c:pt>
                <c:pt idx="77">
                  <c:v>43652</c:v>
                </c:pt>
                <c:pt idx="78">
                  <c:v>43653</c:v>
                </c:pt>
                <c:pt idx="79">
                  <c:v>43654</c:v>
                </c:pt>
                <c:pt idx="80">
                  <c:v>43655</c:v>
                </c:pt>
                <c:pt idx="81">
                  <c:v>43656</c:v>
                </c:pt>
                <c:pt idx="82">
                  <c:v>43657</c:v>
                </c:pt>
                <c:pt idx="83">
                  <c:v>43658</c:v>
                </c:pt>
                <c:pt idx="84">
                  <c:v>43659</c:v>
                </c:pt>
                <c:pt idx="85">
                  <c:v>43660</c:v>
                </c:pt>
                <c:pt idx="86">
                  <c:v>43661</c:v>
                </c:pt>
                <c:pt idx="87">
                  <c:v>43662</c:v>
                </c:pt>
                <c:pt idx="88">
                  <c:v>43663</c:v>
                </c:pt>
                <c:pt idx="89">
                  <c:v>43664</c:v>
                </c:pt>
                <c:pt idx="90">
                  <c:v>43665</c:v>
                </c:pt>
                <c:pt idx="91">
                  <c:v>43666</c:v>
                </c:pt>
                <c:pt idx="92">
                  <c:v>43667</c:v>
                </c:pt>
                <c:pt idx="93">
                  <c:v>43668</c:v>
                </c:pt>
                <c:pt idx="94">
                  <c:v>43669</c:v>
                </c:pt>
                <c:pt idx="95">
                  <c:v>43670</c:v>
                </c:pt>
                <c:pt idx="96">
                  <c:v>43671</c:v>
                </c:pt>
                <c:pt idx="97">
                  <c:v>43672</c:v>
                </c:pt>
                <c:pt idx="98">
                  <c:v>43673</c:v>
                </c:pt>
                <c:pt idx="99">
                  <c:v>43674</c:v>
                </c:pt>
                <c:pt idx="100">
                  <c:v>43675</c:v>
                </c:pt>
                <c:pt idx="101">
                  <c:v>43676</c:v>
                </c:pt>
                <c:pt idx="102">
                  <c:v>43677</c:v>
                </c:pt>
                <c:pt idx="103">
                  <c:v>43678</c:v>
                </c:pt>
                <c:pt idx="104">
                  <c:v>43679</c:v>
                </c:pt>
                <c:pt idx="105">
                  <c:v>43680</c:v>
                </c:pt>
                <c:pt idx="106">
                  <c:v>43681</c:v>
                </c:pt>
                <c:pt idx="107">
                  <c:v>43682</c:v>
                </c:pt>
                <c:pt idx="108">
                  <c:v>43683</c:v>
                </c:pt>
                <c:pt idx="109">
                  <c:v>43684</c:v>
                </c:pt>
                <c:pt idx="110">
                  <c:v>43685</c:v>
                </c:pt>
                <c:pt idx="111">
                  <c:v>43686</c:v>
                </c:pt>
                <c:pt idx="112">
                  <c:v>43687</c:v>
                </c:pt>
                <c:pt idx="113">
                  <c:v>43688</c:v>
                </c:pt>
                <c:pt idx="114">
                  <c:v>43689</c:v>
                </c:pt>
                <c:pt idx="115">
                  <c:v>43690</c:v>
                </c:pt>
                <c:pt idx="116">
                  <c:v>43691</c:v>
                </c:pt>
                <c:pt idx="117">
                  <c:v>43692</c:v>
                </c:pt>
                <c:pt idx="118">
                  <c:v>43693</c:v>
                </c:pt>
                <c:pt idx="119">
                  <c:v>43694</c:v>
                </c:pt>
                <c:pt idx="120">
                  <c:v>43695</c:v>
                </c:pt>
                <c:pt idx="121">
                  <c:v>43696</c:v>
                </c:pt>
                <c:pt idx="122">
                  <c:v>43697</c:v>
                </c:pt>
                <c:pt idx="123">
                  <c:v>43698</c:v>
                </c:pt>
                <c:pt idx="124">
                  <c:v>43699</c:v>
                </c:pt>
                <c:pt idx="125">
                  <c:v>43700</c:v>
                </c:pt>
                <c:pt idx="126">
                  <c:v>43701</c:v>
                </c:pt>
                <c:pt idx="127">
                  <c:v>43702</c:v>
                </c:pt>
                <c:pt idx="128">
                  <c:v>43703</c:v>
                </c:pt>
                <c:pt idx="129">
                  <c:v>43704</c:v>
                </c:pt>
                <c:pt idx="130">
                  <c:v>43705</c:v>
                </c:pt>
                <c:pt idx="131">
                  <c:v>43706</c:v>
                </c:pt>
                <c:pt idx="132">
                  <c:v>43707</c:v>
                </c:pt>
                <c:pt idx="133">
                  <c:v>43708</c:v>
                </c:pt>
                <c:pt idx="134">
                  <c:v>43709</c:v>
                </c:pt>
              </c:numCache>
            </c:numRef>
          </c:cat>
          <c:val>
            <c:numRef>
              <c:f>'Soybeans Already Planted'!$BO$84:$BO$218</c:f>
              <c:numCache>
                <c:formatCode>General</c:formatCode>
                <c:ptCount val="1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1000</c:v>
                </c:pt>
                <c:pt idx="62">
                  <c:v>1000</c:v>
                </c:pt>
                <c:pt idx="63">
                  <c:v>1000</c:v>
                </c:pt>
                <c:pt idx="64">
                  <c:v>1000</c:v>
                </c:pt>
                <c:pt idx="65">
                  <c:v>1000</c:v>
                </c:pt>
                <c:pt idx="66">
                  <c:v>1000</c:v>
                </c:pt>
                <c:pt idx="67">
                  <c:v>1000</c:v>
                </c:pt>
                <c:pt idx="68">
                  <c:v>1000</c:v>
                </c:pt>
                <c:pt idx="69">
                  <c:v>1000</c:v>
                </c:pt>
                <c:pt idx="70">
                  <c:v>1000</c:v>
                </c:pt>
                <c:pt idx="71">
                  <c:v>1000</c:v>
                </c:pt>
                <c:pt idx="72">
                  <c:v>1000</c:v>
                </c:pt>
                <c:pt idx="73">
                  <c:v>1000</c:v>
                </c:pt>
                <c:pt idx="74">
                  <c:v>1000</c:v>
                </c:pt>
                <c:pt idx="75">
                  <c:v>1000</c:v>
                </c:pt>
                <c:pt idx="76">
                  <c:v>1000</c:v>
                </c:pt>
                <c:pt idx="77">
                  <c:v>1000</c:v>
                </c:pt>
                <c:pt idx="78">
                  <c:v>1000</c:v>
                </c:pt>
                <c:pt idx="79">
                  <c:v>1000</c:v>
                </c:pt>
                <c:pt idx="80">
                  <c:v>1000</c:v>
                </c:pt>
                <c:pt idx="81">
                  <c:v>1000</c:v>
                </c:pt>
                <c:pt idx="82">
                  <c:v>1000</c:v>
                </c:pt>
                <c:pt idx="83">
                  <c:v>1000</c:v>
                </c:pt>
                <c:pt idx="84">
                  <c:v>1000</c:v>
                </c:pt>
                <c:pt idx="85">
                  <c:v>1000</c:v>
                </c:pt>
                <c:pt idx="86">
                  <c:v>1000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numCache>
            </c:numRef>
          </c:val>
          <c:extLst>
            <c:ext xmlns:c16="http://schemas.microsoft.com/office/drawing/2014/chart" uri="{C3380CC4-5D6E-409C-BE32-E72D297353CC}">
              <c16:uniqueId val="{00000001-C9C3-4E6D-B457-CE6B664A16FF}"/>
            </c:ext>
          </c:extLst>
        </c:ser>
        <c:dLbls>
          <c:showLegendKey val="0"/>
          <c:showVal val="0"/>
          <c:showCatName val="0"/>
          <c:showSerName val="0"/>
          <c:showPercent val="0"/>
          <c:showBubbleSize val="0"/>
        </c:dLbls>
        <c:gapWidth val="0"/>
        <c:overlap val="100"/>
        <c:axId val="384016352"/>
        <c:axId val="384016744"/>
      </c:barChart>
      <c:lineChart>
        <c:grouping val="standard"/>
        <c:varyColors val="0"/>
        <c:ser>
          <c:idx val="1"/>
          <c:order val="2"/>
          <c:tx>
            <c:strRef>
              <c:f>'Soybeans Already Planted'!$BG$82</c:f>
              <c:strCache>
                <c:ptCount val="1"/>
                <c:pt idx="0">
                  <c:v>Harvest as is</c:v>
                </c:pt>
              </c:strCache>
            </c:strRef>
          </c:tx>
          <c:spPr>
            <a:ln w="50800"/>
          </c:spPr>
          <c:marker>
            <c:symbol val="none"/>
          </c:marker>
          <c:val>
            <c:numRef>
              <c:f>'Soybeans Already Planted'!$BG$84:$BG$218</c:f>
              <c:numCache>
                <c:formatCode>"$"#,##0.00_);[Red]\("$"#,##0.00\)</c:formatCode>
                <c:ptCount val="135"/>
                <c:pt idx="0">
                  <c:v>314.17499999999995</c:v>
                </c:pt>
                <c:pt idx="1">
                  <c:v>314.17499999999995</c:v>
                </c:pt>
                <c:pt idx="2">
                  <c:v>314.17499999999995</c:v>
                </c:pt>
                <c:pt idx="3">
                  <c:v>314.17499999999995</c:v>
                </c:pt>
                <c:pt idx="4">
                  <c:v>314.17499999999995</c:v>
                </c:pt>
                <c:pt idx="5">
                  <c:v>314.17499999999995</c:v>
                </c:pt>
                <c:pt idx="6">
                  <c:v>314.17499999999995</c:v>
                </c:pt>
                <c:pt idx="7">
                  <c:v>314.17499999999995</c:v>
                </c:pt>
                <c:pt idx="8">
                  <c:v>314.17499999999995</c:v>
                </c:pt>
                <c:pt idx="9">
                  <c:v>314.17499999999995</c:v>
                </c:pt>
                <c:pt idx="10">
                  <c:v>314.17499999999995</c:v>
                </c:pt>
                <c:pt idx="11">
                  <c:v>314.17499999999995</c:v>
                </c:pt>
                <c:pt idx="12">
                  <c:v>314.17499999999995</c:v>
                </c:pt>
                <c:pt idx="13">
                  <c:v>314.17499999999995</c:v>
                </c:pt>
                <c:pt idx="14">
                  <c:v>314.17499999999995</c:v>
                </c:pt>
                <c:pt idx="15">
                  <c:v>314.17499999999995</c:v>
                </c:pt>
                <c:pt idx="16">
                  <c:v>314.17499999999995</c:v>
                </c:pt>
                <c:pt idx="17">
                  <c:v>314.17499999999995</c:v>
                </c:pt>
                <c:pt idx="18">
                  <c:v>314.17499999999995</c:v>
                </c:pt>
                <c:pt idx="19">
                  <c:v>314.17499999999995</c:v>
                </c:pt>
                <c:pt idx="20">
                  <c:v>314.17499999999995</c:v>
                </c:pt>
                <c:pt idx="21">
                  <c:v>314.17499999999995</c:v>
                </c:pt>
                <c:pt idx="22">
                  <c:v>314.17499999999995</c:v>
                </c:pt>
                <c:pt idx="23">
                  <c:v>314.17499999999995</c:v>
                </c:pt>
                <c:pt idx="24">
                  <c:v>314.17499999999995</c:v>
                </c:pt>
                <c:pt idx="25">
                  <c:v>314.17499999999995</c:v>
                </c:pt>
                <c:pt idx="26">
                  <c:v>314.17499999999995</c:v>
                </c:pt>
                <c:pt idx="27">
                  <c:v>314.17499999999995</c:v>
                </c:pt>
                <c:pt idx="28">
                  <c:v>314.17499999999995</c:v>
                </c:pt>
                <c:pt idx="29">
                  <c:v>314.17499999999995</c:v>
                </c:pt>
                <c:pt idx="30">
                  <c:v>314.17499999999995</c:v>
                </c:pt>
                <c:pt idx="31">
                  <c:v>314.17499999999995</c:v>
                </c:pt>
                <c:pt idx="32">
                  <c:v>314.17499999999995</c:v>
                </c:pt>
                <c:pt idx="33">
                  <c:v>314.17499999999995</c:v>
                </c:pt>
                <c:pt idx="34">
                  <c:v>314.17499999999995</c:v>
                </c:pt>
                <c:pt idx="35">
                  <c:v>314.17499999999995</c:v>
                </c:pt>
                <c:pt idx="36">
                  <c:v>314.17499999999995</c:v>
                </c:pt>
                <c:pt idx="37">
                  <c:v>314.17499999999995</c:v>
                </c:pt>
                <c:pt idx="38">
                  <c:v>314.17499999999995</c:v>
                </c:pt>
                <c:pt idx="39">
                  <c:v>314.17499999999995</c:v>
                </c:pt>
                <c:pt idx="40">
                  <c:v>314.17499999999995</c:v>
                </c:pt>
                <c:pt idx="41">
                  <c:v>314.17499999999995</c:v>
                </c:pt>
                <c:pt idx="42">
                  <c:v>314.17499999999995</c:v>
                </c:pt>
                <c:pt idx="43">
                  <c:v>314.17499999999995</c:v>
                </c:pt>
                <c:pt idx="44">
                  <c:v>314.17499999999995</c:v>
                </c:pt>
                <c:pt idx="45">
                  <c:v>314.17499999999995</c:v>
                </c:pt>
                <c:pt idx="46">
                  <c:v>314.17499999999995</c:v>
                </c:pt>
                <c:pt idx="47">
                  <c:v>314.17499999999995</c:v>
                </c:pt>
                <c:pt idx="48">
                  <c:v>314.17499999999995</c:v>
                </c:pt>
                <c:pt idx="49">
                  <c:v>314.17499999999995</c:v>
                </c:pt>
                <c:pt idx="50">
                  <c:v>314.17499999999995</c:v>
                </c:pt>
                <c:pt idx="51">
                  <c:v>314.17499999999995</c:v>
                </c:pt>
                <c:pt idx="52">
                  <c:v>314.17499999999995</c:v>
                </c:pt>
                <c:pt idx="53">
                  <c:v>314.17499999999995</c:v>
                </c:pt>
                <c:pt idx="54">
                  <c:v>314.17499999999995</c:v>
                </c:pt>
                <c:pt idx="55">
                  <c:v>314.17499999999995</c:v>
                </c:pt>
                <c:pt idx="56">
                  <c:v>314.17499999999995</c:v>
                </c:pt>
                <c:pt idx="57">
                  <c:v>314.17499999999995</c:v>
                </c:pt>
                <c:pt idx="58">
                  <c:v>314.17499999999995</c:v>
                </c:pt>
                <c:pt idx="59">
                  <c:v>314.17499999999995</c:v>
                </c:pt>
                <c:pt idx="60">
                  <c:v>314.17499999999995</c:v>
                </c:pt>
                <c:pt idx="61">
                  <c:v>314.17499999999995</c:v>
                </c:pt>
                <c:pt idx="62">
                  <c:v>314.17499999999995</c:v>
                </c:pt>
                <c:pt idx="63">
                  <c:v>314.17499999999995</c:v>
                </c:pt>
                <c:pt idx="64">
                  <c:v>314.17499999999995</c:v>
                </c:pt>
                <c:pt idx="65">
                  <c:v>314.17499999999995</c:v>
                </c:pt>
                <c:pt idx="66">
                  <c:v>314.17499999999995</c:v>
                </c:pt>
                <c:pt idx="67">
                  <c:v>314.17499999999995</c:v>
                </c:pt>
                <c:pt idx="68">
                  <c:v>314.17499999999995</c:v>
                </c:pt>
                <c:pt idx="69">
                  <c:v>314.17499999999995</c:v>
                </c:pt>
                <c:pt idx="70">
                  <c:v>314.17499999999995</c:v>
                </c:pt>
                <c:pt idx="71">
                  <c:v>314.17499999999995</c:v>
                </c:pt>
                <c:pt idx="72">
                  <c:v>314.17499999999995</c:v>
                </c:pt>
                <c:pt idx="73">
                  <c:v>314.17499999999995</c:v>
                </c:pt>
                <c:pt idx="74">
                  <c:v>314.17499999999995</c:v>
                </c:pt>
                <c:pt idx="75">
                  <c:v>314.17499999999995</c:v>
                </c:pt>
                <c:pt idx="76">
                  <c:v>314.17499999999995</c:v>
                </c:pt>
                <c:pt idx="77">
                  <c:v>314.17499999999995</c:v>
                </c:pt>
                <c:pt idx="78">
                  <c:v>314.17499999999995</c:v>
                </c:pt>
                <c:pt idx="79">
                  <c:v>314.17499999999995</c:v>
                </c:pt>
                <c:pt idx="80">
                  <c:v>314.17499999999995</c:v>
                </c:pt>
                <c:pt idx="81">
                  <c:v>314.17499999999995</c:v>
                </c:pt>
                <c:pt idx="82">
                  <c:v>314.17499999999995</c:v>
                </c:pt>
                <c:pt idx="83">
                  <c:v>314.17499999999995</c:v>
                </c:pt>
                <c:pt idx="84">
                  <c:v>314.17499999999995</c:v>
                </c:pt>
                <c:pt idx="85">
                  <c:v>314.17499999999995</c:v>
                </c:pt>
                <c:pt idx="86">
                  <c:v>314.17499999999995</c:v>
                </c:pt>
                <c:pt idx="87">
                  <c:v>314.17499999999995</c:v>
                </c:pt>
                <c:pt idx="88">
                  <c:v>314.17499999999995</c:v>
                </c:pt>
                <c:pt idx="89">
                  <c:v>314.17499999999995</c:v>
                </c:pt>
                <c:pt idx="90">
                  <c:v>314.17499999999995</c:v>
                </c:pt>
                <c:pt idx="91">
                  <c:v>314.17499999999995</c:v>
                </c:pt>
                <c:pt idx="92">
                  <c:v>314.17499999999995</c:v>
                </c:pt>
                <c:pt idx="93">
                  <c:v>314.17499999999995</c:v>
                </c:pt>
                <c:pt idx="94">
                  <c:v>314.17499999999995</c:v>
                </c:pt>
                <c:pt idx="95">
                  <c:v>314.17499999999995</c:v>
                </c:pt>
                <c:pt idx="96">
                  <c:v>314.17499999999995</c:v>
                </c:pt>
                <c:pt idx="97">
                  <c:v>314.17499999999995</c:v>
                </c:pt>
                <c:pt idx="98">
                  <c:v>314.17499999999995</c:v>
                </c:pt>
                <c:pt idx="99">
                  <c:v>314.17499999999995</c:v>
                </c:pt>
                <c:pt idx="100">
                  <c:v>314.17499999999995</c:v>
                </c:pt>
                <c:pt idx="101">
                  <c:v>314.17499999999995</c:v>
                </c:pt>
                <c:pt idx="102">
                  <c:v>314.17499999999995</c:v>
                </c:pt>
                <c:pt idx="103">
                  <c:v>314.17499999999995</c:v>
                </c:pt>
                <c:pt idx="104">
                  <c:v>314.17499999999995</c:v>
                </c:pt>
                <c:pt idx="105">
                  <c:v>314.17499999999995</c:v>
                </c:pt>
                <c:pt idx="106">
                  <c:v>314.17499999999995</c:v>
                </c:pt>
                <c:pt idx="107">
                  <c:v>314.17499999999995</c:v>
                </c:pt>
                <c:pt idx="108">
                  <c:v>314.17499999999995</c:v>
                </c:pt>
                <c:pt idx="109">
                  <c:v>314.17499999999995</c:v>
                </c:pt>
                <c:pt idx="110">
                  <c:v>314.17499999999995</c:v>
                </c:pt>
                <c:pt idx="111">
                  <c:v>314.17499999999995</c:v>
                </c:pt>
                <c:pt idx="112">
                  <c:v>314.17499999999995</c:v>
                </c:pt>
                <c:pt idx="113">
                  <c:v>314.17499999999995</c:v>
                </c:pt>
                <c:pt idx="114">
                  <c:v>314.17499999999995</c:v>
                </c:pt>
                <c:pt idx="115">
                  <c:v>314.17499999999995</c:v>
                </c:pt>
                <c:pt idx="116">
                  <c:v>314.17499999999995</c:v>
                </c:pt>
                <c:pt idx="117">
                  <c:v>314.17499999999995</c:v>
                </c:pt>
                <c:pt idx="118">
                  <c:v>314.17499999999995</c:v>
                </c:pt>
                <c:pt idx="119">
                  <c:v>314.17499999999995</c:v>
                </c:pt>
                <c:pt idx="120">
                  <c:v>314.17499999999995</c:v>
                </c:pt>
                <c:pt idx="121">
                  <c:v>314.17499999999995</c:v>
                </c:pt>
                <c:pt idx="122">
                  <c:v>314.17499999999995</c:v>
                </c:pt>
                <c:pt idx="123">
                  <c:v>314.17499999999995</c:v>
                </c:pt>
                <c:pt idx="124">
                  <c:v>314.17499999999995</c:v>
                </c:pt>
                <c:pt idx="125">
                  <c:v>314.17499999999995</c:v>
                </c:pt>
                <c:pt idx="126">
                  <c:v>314.17499999999995</c:v>
                </c:pt>
                <c:pt idx="127">
                  <c:v>314.17499999999995</c:v>
                </c:pt>
                <c:pt idx="128">
                  <c:v>314.17499999999995</c:v>
                </c:pt>
                <c:pt idx="129">
                  <c:v>314.17499999999995</c:v>
                </c:pt>
                <c:pt idx="130">
                  <c:v>314.17499999999995</c:v>
                </c:pt>
                <c:pt idx="131">
                  <c:v>314.17499999999995</c:v>
                </c:pt>
                <c:pt idx="132">
                  <c:v>314.17499999999995</c:v>
                </c:pt>
                <c:pt idx="133">
                  <c:v>314.17499999999995</c:v>
                </c:pt>
                <c:pt idx="134">
                  <c:v>314.17499999999995</c:v>
                </c:pt>
              </c:numCache>
            </c:numRef>
          </c:val>
          <c:smooth val="0"/>
          <c:extLst>
            <c:ext xmlns:c16="http://schemas.microsoft.com/office/drawing/2014/chart" uri="{C3380CC4-5D6E-409C-BE32-E72D297353CC}">
              <c16:uniqueId val="{00000002-C9C3-4E6D-B457-CE6B664A16FF}"/>
            </c:ext>
          </c:extLst>
        </c:ser>
        <c:ser>
          <c:idx val="5"/>
          <c:order val="3"/>
          <c:tx>
            <c:strRef>
              <c:f>'Soybeans Already Planted'!$BI$82</c:f>
              <c:strCache>
                <c:ptCount val="1"/>
                <c:pt idx="0">
                  <c:v>Replant Soybeans</c:v>
                </c:pt>
              </c:strCache>
            </c:strRef>
          </c:tx>
          <c:spPr>
            <a:ln w="50800">
              <a:solidFill>
                <a:schemeClr val="accent6"/>
              </a:solidFill>
            </a:ln>
          </c:spPr>
          <c:marker>
            <c:symbol val="none"/>
          </c:marker>
          <c:val>
            <c:numRef>
              <c:f>'Soybeans Already Planted'!$BI$84:$BI$218</c:f>
              <c:numCache>
                <c:formatCode>General</c:formatCode>
                <c:ptCount val="135"/>
                <c:pt idx="0">
                  <c:v>435.39275508902966</c:v>
                </c:pt>
                <c:pt idx="1">
                  <c:v>436.90894556751476</c:v>
                </c:pt>
                <c:pt idx="2">
                  <c:v>438.32360544510186</c:v>
                </c:pt>
                <c:pt idx="3">
                  <c:v>439.63673470325767</c:v>
                </c:pt>
                <c:pt idx="4">
                  <c:v>440.84833330491557</c:v>
                </c:pt>
                <c:pt idx="5">
                  <c:v>441.95840132420881</c:v>
                </c:pt>
                <c:pt idx="6">
                  <c:v>442.9669387426041</c:v>
                </c:pt>
                <c:pt idx="7">
                  <c:v>443.87394556010145</c:v>
                </c:pt>
                <c:pt idx="8">
                  <c:v>444.67942175816745</c:v>
                </c:pt>
                <c:pt idx="9">
                  <c:v>445.38336733680217</c:v>
                </c:pt>
                <c:pt idx="10">
                  <c:v>445.98578229600565</c:v>
                </c:pt>
                <c:pt idx="11">
                  <c:v>446.48666665431114</c:v>
                </c:pt>
                <c:pt idx="12">
                  <c:v>446.88602041171862</c:v>
                </c:pt>
                <c:pt idx="13">
                  <c:v>447.18384353116153</c:v>
                </c:pt>
                <c:pt idx="14">
                  <c:v>447.38013604970649</c:v>
                </c:pt>
                <c:pt idx="15">
                  <c:v>447.47489796735346</c:v>
                </c:pt>
                <c:pt idx="16">
                  <c:v>447.46812922850251</c:v>
                </c:pt>
                <c:pt idx="17">
                  <c:v>447.35982990728689</c:v>
                </c:pt>
                <c:pt idx="18">
                  <c:v>447.14999998517334</c:v>
                </c:pt>
                <c:pt idx="19">
                  <c:v>446.83863944362849</c:v>
                </c:pt>
                <c:pt idx="20">
                  <c:v>446.42574828265236</c:v>
                </c:pt>
                <c:pt idx="21">
                  <c:v>445.91132652077823</c:v>
                </c:pt>
                <c:pt idx="22">
                  <c:v>445.29537413947287</c:v>
                </c:pt>
                <c:pt idx="23">
                  <c:v>444.57789115726951</c:v>
                </c:pt>
                <c:pt idx="24">
                  <c:v>443.75887755563485</c:v>
                </c:pt>
                <c:pt idx="25">
                  <c:v>442.83833333456892</c:v>
                </c:pt>
                <c:pt idx="26">
                  <c:v>441.81625851260497</c:v>
                </c:pt>
                <c:pt idx="27">
                  <c:v>440.6926530712098</c:v>
                </c:pt>
                <c:pt idx="28">
                  <c:v>439.46751697331666</c:v>
                </c:pt>
                <c:pt idx="29">
                  <c:v>438.1408503115922</c:v>
                </c:pt>
                <c:pt idx="30">
                  <c:v>436.71265303043651</c:v>
                </c:pt>
                <c:pt idx="31">
                  <c:v>435.18292514838276</c:v>
                </c:pt>
                <c:pt idx="32">
                  <c:v>433.55166664689779</c:v>
                </c:pt>
                <c:pt idx="33">
                  <c:v>431.81887754451486</c:v>
                </c:pt>
                <c:pt idx="34">
                  <c:v>429.98455782270059</c:v>
                </c:pt>
                <c:pt idx="35">
                  <c:v>428.04870748145504</c:v>
                </c:pt>
                <c:pt idx="36">
                  <c:v>426.01132652077825</c:v>
                </c:pt>
                <c:pt idx="37">
                  <c:v>423.87241495920347</c:v>
                </c:pt>
                <c:pt idx="38">
                  <c:v>421.63197279673068</c:v>
                </c:pt>
                <c:pt idx="39">
                  <c:v>419.28999997776003</c:v>
                </c:pt>
                <c:pt idx="40">
                  <c:v>416.84649657642467</c:v>
                </c:pt>
                <c:pt idx="41">
                  <c:v>414.30146255565808</c:v>
                </c:pt>
                <c:pt idx="42">
                  <c:v>411.65489793399348</c:v>
                </c:pt>
                <c:pt idx="43">
                  <c:v>408.90680271143094</c:v>
                </c:pt>
                <c:pt idx="44">
                  <c:v>406.05717685090377</c:v>
                </c:pt>
                <c:pt idx="45">
                  <c:v>403.10602038947866</c:v>
                </c:pt>
                <c:pt idx="46">
                  <c:v>400.05333332715554</c:v>
                </c:pt>
                <c:pt idx="47">
                  <c:v>396.8991156454012</c:v>
                </c:pt>
                <c:pt idx="48">
                  <c:v>393.64336734421551</c:v>
                </c:pt>
                <c:pt idx="49">
                  <c:v>390.28608844213187</c:v>
                </c:pt>
                <c:pt idx="50">
                  <c:v>386.82727892061695</c:v>
                </c:pt>
                <c:pt idx="51">
                  <c:v>383.26693874260411</c:v>
                </c:pt>
                <c:pt idx="52">
                  <c:v>379.60506800075996</c:v>
                </c:pt>
                <c:pt idx="53">
                  <c:v>375.84166663948446</c:v>
                </c:pt>
                <c:pt idx="54">
                  <c:v>371.97673467731101</c:v>
                </c:pt>
                <c:pt idx="55">
                  <c:v>368.01027209570634</c:v>
                </c:pt>
                <c:pt idx="56">
                  <c:v>363.94227889467032</c:v>
                </c:pt>
                <c:pt idx="57">
                  <c:v>359.77275509273636</c:v>
                </c:pt>
                <c:pt idx="58">
                  <c:v>355.50170067137105</c:v>
                </c:pt>
                <c:pt idx="59">
                  <c:v>351.12911564910786</c:v>
                </c:pt>
                <c:pt idx="60">
                  <c:v>346.65500000741332</c:v>
                </c:pt>
                <c:pt idx="61">
                  <c:v>342.07935374628755</c:v>
                </c:pt>
                <c:pt idx="62">
                  <c:v>337.40217688426378</c:v>
                </c:pt>
                <c:pt idx="63">
                  <c:v>332.62346936574204</c:v>
                </c:pt>
                <c:pt idx="64">
                  <c:v>327.74323126485569</c:v>
                </c:pt>
                <c:pt idx="65">
                  <c:v>322.7614625630714</c:v>
                </c:pt>
                <c:pt idx="66">
                  <c:v>317.67816324185583</c:v>
                </c:pt>
                <c:pt idx="67">
                  <c:v>312.49333331974225</c:v>
                </c:pt>
                <c:pt idx="68">
                  <c:v>307.20697277819738</c:v>
                </c:pt>
                <c:pt idx="69">
                  <c:v>301.81908161722123</c:v>
                </c:pt>
                <c:pt idx="70">
                  <c:v>296.32965985534713</c:v>
                </c:pt>
                <c:pt idx="71">
                  <c:v>291.40391156425699</c:v>
                </c:pt>
                <c:pt idx="72">
                  <c:v>291.16934693885963</c:v>
                </c:pt>
                <c:pt idx="73">
                  <c:v>290.93059863969688</c:v>
                </c:pt>
                <c:pt idx="74">
                  <c:v>290.68766666524112</c:v>
                </c:pt>
                <c:pt idx="75">
                  <c:v>290.44055101931099</c:v>
                </c:pt>
                <c:pt idx="76">
                  <c:v>290.18925169961523</c:v>
                </c:pt>
                <c:pt idx="77">
                  <c:v>289.93376870691782</c:v>
                </c:pt>
                <c:pt idx="78">
                  <c:v>289.67410203969109</c:v>
                </c:pt>
                <c:pt idx="79">
                  <c:v>289.41025170022624</c:v>
                </c:pt>
                <c:pt idx="80">
                  <c:v>289.14221768623219</c:v>
                </c:pt>
                <c:pt idx="81">
                  <c:v>288.87</c:v>
                </c:pt>
                <c:pt idx="82">
                  <c:v>288.59359863923862</c:v>
                </c:pt>
                <c:pt idx="83">
                  <c:v>288.31301360547536</c:v>
                </c:pt>
                <c:pt idx="84">
                  <c:v>288.02824489794671</c:v>
                </c:pt>
                <c:pt idx="85">
                  <c:v>287.73929251741612</c:v>
                </c:pt>
                <c:pt idx="86">
                  <c:v>287.44615646159275</c:v>
                </c:pt>
                <c:pt idx="87">
                  <c:v>287.1488367335312</c:v>
                </c:pt>
                <c:pt idx="88">
                  <c:v>286.84733333246783</c:v>
                </c:pt>
                <c:pt idx="89">
                  <c:v>286.54164625763894</c:v>
                </c:pt>
                <c:pt idx="90">
                  <c:v>286.23177550980824</c:v>
                </c:pt>
                <c:pt idx="91">
                  <c:v>285.91772108821198</c:v>
                </c:pt>
                <c:pt idx="92">
                  <c:v>285.5994829928502</c:v>
                </c:pt>
                <c:pt idx="93">
                  <c:v>285.27706122448666</c:v>
                </c:pt>
                <c:pt idx="94">
                  <c:v>284.95045578235761</c:v>
                </c:pt>
                <c:pt idx="95">
                  <c:v>284.61966666646299</c:v>
                </c:pt>
                <c:pt idx="96">
                  <c:v>284.28469387756661</c:v>
                </c:pt>
                <c:pt idx="97">
                  <c:v>283.94553741490466</c:v>
                </c:pt>
                <c:pt idx="98">
                  <c:v>283.60219727771357</c:v>
                </c:pt>
                <c:pt idx="99">
                  <c:v>283.2546734682843</c:v>
                </c:pt>
                <c:pt idx="100">
                  <c:v>282.90296598508957</c:v>
                </c:pt>
                <c:pt idx="101">
                  <c:v>282.5470748288929</c:v>
                </c:pt>
                <c:pt idx="102">
                  <c:v>282.18699999969454</c:v>
                </c:pt>
                <c:pt idx="103">
                  <c:v>281.82274149596685</c:v>
                </c:pt>
                <c:pt idx="104">
                  <c:v>281.45429931923746</c:v>
                </c:pt>
                <c:pt idx="105">
                  <c:v>281.08167346874245</c:v>
                </c:pt>
                <c:pt idx="106">
                  <c:v>280.70486394524573</c:v>
                </c:pt>
                <c:pt idx="107">
                  <c:v>280.32387074798339</c:v>
                </c:pt>
                <c:pt idx="108">
                  <c:v>279.93869387771934</c:v>
                </c:pt>
                <c:pt idx="109">
                  <c:v>279.54933333368967</c:v>
                </c:pt>
                <c:pt idx="110">
                  <c:v>279.15578911436717</c:v>
                </c:pt>
                <c:pt idx="111">
                  <c:v>278.75806122357028</c:v>
                </c:pt>
                <c:pt idx="112">
                  <c:v>278.35614965900777</c:v>
                </c:pt>
                <c:pt idx="113">
                  <c:v>277.95005442067975</c:v>
                </c:pt>
                <c:pt idx="114">
                  <c:v>277.53977550934997</c:v>
                </c:pt>
                <c:pt idx="115">
                  <c:v>277.12531292501836</c:v>
                </c:pt>
                <c:pt idx="116">
                  <c:v>276.7066666661575</c:v>
                </c:pt>
                <c:pt idx="117">
                  <c:v>276.28383673429482</c:v>
                </c:pt>
                <c:pt idx="118">
                  <c:v>275.85682312943038</c:v>
                </c:pt>
                <c:pt idx="119">
                  <c:v>275.42562585003668</c:v>
                </c:pt>
                <c:pt idx="120">
                  <c:v>274.99024489840485</c:v>
                </c:pt>
                <c:pt idx="121">
                  <c:v>274.5506802707165</c:v>
                </c:pt>
                <c:pt idx="122">
                  <c:v>274.10693197155365</c:v>
                </c:pt>
                <c:pt idx="123">
                  <c:v>273.65899999938904</c:v>
                </c:pt>
                <c:pt idx="124">
                  <c:v>273.20688435269511</c:v>
                </c:pt>
                <c:pt idx="125">
                  <c:v>272.75058503299942</c:v>
                </c:pt>
                <c:pt idx="126">
                  <c:v>272.29010204030192</c:v>
                </c:pt>
                <c:pt idx="127">
                  <c:v>271.82543537383901</c:v>
                </c:pt>
                <c:pt idx="128">
                  <c:v>271.35658503361049</c:v>
                </c:pt>
                <c:pt idx="129">
                  <c:v>270.88355102038003</c:v>
                </c:pt>
                <c:pt idx="130">
                  <c:v>270.40633333338423</c:v>
                </c:pt>
                <c:pt idx="131">
                  <c:v>269.92493197262286</c:v>
                </c:pt>
                <c:pt idx="132">
                  <c:v>269.43934693885967</c:v>
                </c:pt>
                <c:pt idx="133">
                  <c:v>268.94957822980359</c:v>
                </c:pt>
                <c:pt idx="134">
                  <c:v>268.45562584927302</c:v>
                </c:pt>
              </c:numCache>
            </c:numRef>
          </c:val>
          <c:smooth val="0"/>
          <c:extLst>
            <c:ext xmlns:c16="http://schemas.microsoft.com/office/drawing/2014/chart" uri="{C3380CC4-5D6E-409C-BE32-E72D297353CC}">
              <c16:uniqueId val="{00000003-C9C3-4E6D-B457-CE6B664A16FF}"/>
            </c:ext>
          </c:extLst>
        </c:ser>
        <c:dLbls>
          <c:showLegendKey val="0"/>
          <c:showVal val="0"/>
          <c:showCatName val="0"/>
          <c:showSerName val="0"/>
          <c:showPercent val="0"/>
          <c:showBubbleSize val="0"/>
        </c:dLbls>
        <c:marker val="1"/>
        <c:smooth val="0"/>
        <c:axId val="384016352"/>
        <c:axId val="384016744"/>
      </c:lineChart>
      <c:dateAx>
        <c:axId val="384016352"/>
        <c:scaling>
          <c:orientation val="minMax"/>
        </c:scaling>
        <c:delete val="0"/>
        <c:axPos val="b"/>
        <c:numFmt formatCode="d\-mmm" sourceLinked="1"/>
        <c:majorTickMark val="out"/>
        <c:minorTickMark val="none"/>
        <c:tickLblPos val="nextTo"/>
        <c:txPr>
          <a:bodyPr rot="-1260000"/>
          <a:lstStyle/>
          <a:p>
            <a:pPr>
              <a:defRPr sz="1400"/>
            </a:pPr>
            <a:endParaRPr lang="en-US"/>
          </a:p>
        </c:txPr>
        <c:crossAx val="384016744"/>
        <c:crosses val="autoZero"/>
        <c:auto val="1"/>
        <c:lblOffset val="100"/>
        <c:baseTimeUnit val="days"/>
        <c:majorUnit val="7"/>
        <c:minorUnit val="7"/>
      </c:dateAx>
      <c:valAx>
        <c:axId val="384016744"/>
        <c:scaling>
          <c:orientation val="minMax"/>
        </c:scaling>
        <c:delete val="0"/>
        <c:axPos val="l"/>
        <c:majorGridlines/>
        <c:title>
          <c:tx>
            <c:rich>
              <a:bodyPr rot="-5400000" vert="horz"/>
              <a:lstStyle/>
              <a:p>
                <a:pPr>
                  <a:defRPr sz="1400"/>
                </a:pPr>
                <a:r>
                  <a:rPr lang="en-US" sz="1400"/>
                  <a:t>Net Income Per Acre</a:t>
                </a:r>
              </a:p>
            </c:rich>
          </c:tx>
          <c:overlay val="0"/>
        </c:title>
        <c:numFmt formatCode="&quot;$&quot;#,##0" sourceLinked="0"/>
        <c:majorTickMark val="out"/>
        <c:minorTickMark val="none"/>
        <c:tickLblPos val="nextTo"/>
        <c:txPr>
          <a:bodyPr/>
          <a:lstStyle/>
          <a:p>
            <a:pPr>
              <a:defRPr sz="1400"/>
            </a:pPr>
            <a:endParaRPr lang="en-US"/>
          </a:p>
        </c:txPr>
        <c:crossAx val="384016352"/>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Comparison of Options For</a:t>
            </a:r>
            <a:r>
              <a:rPr lang="en-US" baseline="0"/>
              <a:t> Prevented Planting of Soybeans</a:t>
            </a:r>
            <a:endParaRPr lang="en-US"/>
          </a:p>
        </c:rich>
      </c:tx>
      <c:overlay val="0"/>
    </c:title>
    <c:autoTitleDeleted val="0"/>
    <c:plotArea>
      <c:layout/>
      <c:barChart>
        <c:barDir val="col"/>
        <c:grouping val="clustered"/>
        <c:varyColors val="0"/>
        <c:ser>
          <c:idx val="3"/>
          <c:order val="0"/>
          <c:tx>
            <c:strRef>
              <c:f>'Soybeans Prevented Planting'!$BN$82</c:f>
              <c:strCache>
                <c:ptCount val="1"/>
                <c:pt idx="0">
                  <c:v>SB Initial Planting Date</c:v>
                </c:pt>
              </c:strCache>
            </c:strRef>
          </c:tx>
          <c:spPr>
            <a:solidFill>
              <a:schemeClr val="accent3">
                <a:lumMod val="50000"/>
              </a:schemeClr>
            </a:solidFill>
          </c:spPr>
          <c:invertIfNegative val="0"/>
          <c:cat>
            <c:numRef>
              <c:f>'Soybeans Prevented Planting'!$BH$84:$BH$218</c:f>
              <c:numCache>
                <c:formatCode>d\-mmm</c:formatCode>
                <c:ptCount val="135"/>
                <c:pt idx="0">
                  <c:v>43575</c:v>
                </c:pt>
                <c:pt idx="1">
                  <c:v>43576</c:v>
                </c:pt>
                <c:pt idx="2">
                  <c:v>43577</c:v>
                </c:pt>
                <c:pt idx="3">
                  <c:v>43578</c:v>
                </c:pt>
                <c:pt idx="4">
                  <c:v>43579</c:v>
                </c:pt>
                <c:pt idx="5">
                  <c:v>43580</c:v>
                </c:pt>
                <c:pt idx="6">
                  <c:v>43581</c:v>
                </c:pt>
                <c:pt idx="7">
                  <c:v>43582</c:v>
                </c:pt>
                <c:pt idx="8">
                  <c:v>43583</c:v>
                </c:pt>
                <c:pt idx="9">
                  <c:v>43584</c:v>
                </c:pt>
                <c:pt idx="10">
                  <c:v>43585</c:v>
                </c:pt>
                <c:pt idx="11">
                  <c:v>43586</c:v>
                </c:pt>
                <c:pt idx="12">
                  <c:v>43587</c:v>
                </c:pt>
                <c:pt idx="13">
                  <c:v>43588</c:v>
                </c:pt>
                <c:pt idx="14">
                  <c:v>43589</c:v>
                </c:pt>
                <c:pt idx="15">
                  <c:v>43590</c:v>
                </c:pt>
                <c:pt idx="16">
                  <c:v>43591</c:v>
                </c:pt>
                <c:pt idx="17">
                  <c:v>43592</c:v>
                </c:pt>
                <c:pt idx="18">
                  <c:v>43593</c:v>
                </c:pt>
                <c:pt idx="19">
                  <c:v>43594</c:v>
                </c:pt>
                <c:pt idx="20">
                  <c:v>43595</c:v>
                </c:pt>
                <c:pt idx="21">
                  <c:v>43596</c:v>
                </c:pt>
                <c:pt idx="22">
                  <c:v>43597</c:v>
                </c:pt>
                <c:pt idx="23">
                  <c:v>43598</c:v>
                </c:pt>
                <c:pt idx="24">
                  <c:v>43599</c:v>
                </c:pt>
                <c:pt idx="25">
                  <c:v>43600</c:v>
                </c:pt>
                <c:pt idx="26">
                  <c:v>43601</c:v>
                </c:pt>
                <c:pt idx="27">
                  <c:v>43602</c:v>
                </c:pt>
                <c:pt idx="28">
                  <c:v>43603</c:v>
                </c:pt>
                <c:pt idx="29">
                  <c:v>43604</c:v>
                </c:pt>
                <c:pt idx="30">
                  <c:v>43605</c:v>
                </c:pt>
                <c:pt idx="31">
                  <c:v>43606</c:v>
                </c:pt>
                <c:pt idx="32">
                  <c:v>43607</c:v>
                </c:pt>
                <c:pt idx="33">
                  <c:v>43608</c:v>
                </c:pt>
                <c:pt idx="34">
                  <c:v>43609</c:v>
                </c:pt>
                <c:pt idx="35">
                  <c:v>43610</c:v>
                </c:pt>
                <c:pt idx="36">
                  <c:v>43611</c:v>
                </c:pt>
                <c:pt idx="37">
                  <c:v>43612</c:v>
                </c:pt>
                <c:pt idx="38">
                  <c:v>43613</c:v>
                </c:pt>
                <c:pt idx="39">
                  <c:v>43614</c:v>
                </c:pt>
                <c:pt idx="40">
                  <c:v>43615</c:v>
                </c:pt>
                <c:pt idx="41">
                  <c:v>43616</c:v>
                </c:pt>
                <c:pt idx="42">
                  <c:v>43617</c:v>
                </c:pt>
                <c:pt idx="43">
                  <c:v>43618</c:v>
                </c:pt>
                <c:pt idx="44">
                  <c:v>43619</c:v>
                </c:pt>
                <c:pt idx="45">
                  <c:v>43620</c:v>
                </c:pt>
                <c:pt idx="46">
                  <c:v>43621</c:v>
                </c:pt>
                <c:pt idx="47">
                  <c:v>43622</c:v>
                </c:pt>
                <c:pt idx="48">
                  <c:v>43623</c:v>
                </c:pt>
                <c:pt idx="49">
                  <c:v>43624</c:v>
                </c:pt>
                <c:pt idx="50">
                  <c:v>43625</c:v>
                </c:pt>
                <c:pt idx="51">
                  <c:v>43626</c:v>
                </c:pt>
                <c:pt idx="52">
                  <c:v>43627</c:v>
                </c:pt>
                <c:pt idx="53">
                  <c:v>43628</c:v>
                </c:pt>
                <c:pt idx="54">
                  <c:v>43629</c:v>
                </c:pt>
                <c:pt idx="55">
                  <c:v>43630</c:v>
                </c:pt>
                <c:pt idx="56">
                  <c:v>43631</c:v>
                </c:pt>
                <c:pt idx="57">
                  <c:v>43632</c:v>
                </c:pt>
                <c:pt idx="58">
                  <c:v>43633</c:v>
                </c:pt>
                <c:pt idx="59">
                  <c:v>43634</c:v>
                </c:pt>
                <c:pt idx="60">
                  <c:v>43635</c:v>
                </c:pt>
                <c:pt idx="61">
                  <c:v>43636</c:v>
                </c:pt>
                <c:pt idx="62">
                  <c:v>43637</c:v>
                </c:pt>
                <c:pt idx="63">
                  <c:v>43638</c:v>
                </c:pt>
                <c:pt idx="64">
                  <c:v>43639</c:v>
                </c:pt>
                <c:pt idx="65">
                  <c:v>43640</c:v>
                </c:pt>
                <c:pt idx="66">
                  <c:v>43641</c:v>
                </c:pt>
                <c:pt idx="67">
                  <c:v>43642</c:v>
                </c:pt>
                <c:pt idx="68">
                  <c:v>43643</c:v>
                </c:pt>
                <c:pt idx="69">
                  <c:v>43644</c:v>
                </c:pt>
                <c:pt idx="70">
                  <c:v>43645</c:v>
                </c:pt>
                <c:pt idx="71">
                  <c:v>43646</c:v>
                </c:pt>
                <c:pt idx="72">
                  <c:v>43647</c:v>
                </c:pt>
                <c:pt idx="73">
                  <c:v>43648</c:v>
                </c:pt>
                <c:pt idx="74">
                  <c:v>43649</c:v>
                </c:pt>
                <c:pt idx="75">
                  <c:v>43650</c:v>
                </c:pt>
                <c:pt idx="76">
                  <c:v>43651</c:v>
                </c:pt>
                <c:pt idx="77">
                  <c:v>43652</c:v>
                </c:pt>
                <c:pt idx="78">
                  <c:v>43653</c:v>
                </c:pt>
                <c:pt idx="79">
                  <c:v>43654</c:v>
                </c:pt>
                <c:pt idx="80">
                  <c:v>43655</c:v>
                </c:pt>
                <c:pt idx="81">
                  <c:v>43656</c:v>
                </c:pt>
                <c:pt idx="82">
                  <c:v>43657</c:v>
                </c:pt>
                <c:pt idx="83">
                  <c:v>43658</c:v>
                </c:pt>
                <c:pt idx="84">
                  <c:v>43659</c:v>
                </c:pt>
                <c:pt idx="85">
                  <c:v>43660</c:v>
                </c:pt>
                <c:pt idx="86">
                  <c:v>43661</c:v>
                </c:pt>
                <c:pt idx="87">
                  <c:v>43662</c:v>
                </c:pt>
                <c:pt idx="88">
                  <c:v>43663</c:v>
                </c:pt>
                <c:pt idx="89">
                  <c:v>43664</c:v>
                </c:pt>
                <c:pt idx="90">
                  <c:v>43665</c:v>
                </c:pt>
                <c:pt idx="91">
                  <c:v>43666</c:v>
                </c:pt>
                <c:pt idx="92">
                  <c:v>43667</c:v>
                </c:pt>
                <c:pt idx="93">
                  <c:v>43668</c:v>
                </c:pt>
                <c:pt idx="94">
                  <c:v>43669</c:v>
                </c:pt>
                <c:pt idx="95">
                  <c:v>43670</c:v>
                </c:pt>
                <c:pt idx="96">
                  <c:v>43671</c:v>
                </c:pt>
                <c:pt idx="97">
                  <c:v>43672</c:v>
                </c:pt>
                <c:pt idx="98">
                  <c:v>43673</c:v>
                </c:pt>
                <c:pt idx="99">
                  <c:v>43674</c:v>
                </c:pt>
                <c:pt idx="100">
                  <c:v>43675</c:v>
                </c:pt>
                <c:pt idx="101">
                  <c:v>43676</c:v>
                </c:pt>
                <c:pt idx="102">
                  <c:v>43677</c:v>
                </c:pt>
                <c:pt idx="103">
                  <c:v>43678</c:v>
                </c:pt>
                <c:pt idx="104">
                  <c:v>43679</c:v>
                </c:pt>
                <c:pt idx="105">
                  <c:v>43680</c:v>
                </c:pt>
                <c:pt idx="106">
                  <c:v>43681</c:v>
                </c:pt>
                <c:pt idx="107">
                  <c:v>43682</c:v>
                </c:pt>
                <c:pt idx="108">
                  <c:v>43683</c:v>
                </c:pt>
                <c:pt idx="109">
                  <c:v>43684</c:v>
                </c:pt>
                <c:pt idx="110">
                  <c:v>43685</c:v>
                </c:pt>
                <c:pt idx="111">
                  <c:v>43686</c:v>
                </c:pt>
                <c:pt idx="112">
                  <c:v>43687</c:v>
                </c:pt>
                <c:pt idx="113">
                  <c:v>43688</c:v>
                </c:pt>
                <c:pt idx="114">
                  <c:v>43689</c:v>
                </c:pt>
                <c:pt idx="115">
                  <c:v>43690</c:v>
                </c:pt>
                <c:pt idx="116">
                  <c:v>43691</c:v>
                </c:pt>
                <c:pt idx="117">
                  <c:v>43692</c:v>
                </c:pt>
                <c:pt idx="118">
                  <c:v>43693</c:v>
                </c:pt>
                <c:pt idx="119">
                  <c:v>43694</c:v>
                </c:pt>
                <c:pt idx="120">
                  <c:v>43695</c:v>
                </c:pt>
                <c:pt idx="121">
                  <c:v>43696</c:v>
                </c:pt>
                <c:pt idx="122">
                  <c:v>43697</c:v>
                </c:pt>
                <c:pt idx="123">
                  <c:v>43698</c:v>
                </c:pt>
                <c:pt idx="124">
                  <c:v>43699</c:v>
                </c:pt>
                <c:pt idx="125">
                  <c:v>43700</c:v>
                </c:pt>
                <c:pt idx="126">
                  <c:v>43701</c:v>
                </c:pt>
                <c:pt idx="127">
                  <c:v>43702</c:v>
                </c:pt>
                <c:pt idx="128">
                  <c:v>43703</c:v>
                </c:pt>
                <c:pt idx="129">
                  <c:v>43704</c:v>
                </c:pt>
                <c:pt idx="130">
                  <c:v>43705</c:v>
                </c:pt>
                <c:pt idx="131">
                  <c:v>43706</c:v>
                </c:pt>
                <c:pt idx="132">
                  <c:v>43707</c:v>
                </c:pt>
                <c:pt idx="133">
                  <c:v>43708</c:v>
                </c:pt>
                <c:pt idx="134">
                  <c:v>43709</c:v>
                </c:pt>
              </c:numCache>
            </c:numRef>
          </c:cat>
          <c:val>
            <c:numRef>
              <c:f>'Soybeans Prevented Planting'!$BN$84:$BN$218</c:f>
              <c:numCache>
                <c:formatCode>General</c:formatCode>
                <c:ptCount val="135"/>
                <c:pt idx="0">
                  <c:v>1000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numCache>
            </c:numRef>
          </c:val>
          <c:extLst>
            <c:ext xmlns:c16="http://schemas.microsoft.com/office/drawing/2014/chart" uri="{C3380CC4-5D6E-409C-BE32-E72D297353CC}">
              <c16:uniqueId val="{00000000-BB90-4232-8F87-702AAA8186C4}"/>
            </c:ext>
          </c:extLst>
        </c:ser>
        <c:ser>
          <c:idx val="4"/>
          <c:order val="1"/>
          <c:tx>
            <c:strRef>
              <c:f>'Soybeans Prevented Planting'!$BO$82</c:f>
              <c:strCache>
                <c:ptCount val="1"/>
                <c:pt idx="0">
                  <c:v>SB Late Planting Period</c:v>
                </c:pt>
              </c:strCache>
            </c:strRef>
          </c:tx>
          <c:spPr>
            <a:pattFill prst="diagBrick">
              <a:fgClr>
                <a:schemeClr val="tx2">
                  <a:lumMod val="40000"/>
                  <a:lumOff val="60000"/>
                </a:schemeClr>
              </a:fgClr>
              <a:bgClr>
                <a:schemeClr val="bg1"/>
              </a:bgClr>
            </a:pattFill>
          </c:spPr>
          <c:invertIfNegative val="0"/>
          <c:cat>
            <c:numRef>
              <c:f>'Soybeans Prevented Planting'!$BH$84:$BH$218</c:f>
              <c:numCache>
                <c:formatCode>d\-mmm</c:formatCode>
                <c:ptCount val="135"/>
                <c:pt idx="0">
                  <c:v>43575</c:v>
                </c:pt>
                <c:pt idx="1">
                  <c:v>43576</c:v>
                </c:pt>
                <c:pt idx="2">
                  <c:v>43577</c:v>
                </c:pt>
                <c:pt idx="3">
                  <c:v>43578</c:v>
                </c:pt>
                <c:pt idx="4">
                  <c:v>43579</c:v>
                </c:pt>
                <c:pt idx="5">
                  <c:v>43580</c:v>
                </c:pt>
                <c:pt idx="6">
                  <c:v>43581</c:v>
                </c:pt>
                <c:pt idx="7">
                  <c:v>43582</c:v>
                </c:pt>
                <c:pt idx="8">
                  <c:v>43583</c:v>
                </c:pt>
                <c:pt idx="9">
                  <c:v>43584</c:v>
                </c:pt>
                <c:pt idx="10">
                  <c:v>43585</c:v>
                </c:pt>
                <c:pt idx="11">
                  <c:v>43586</c:v>
                </c:pt>
                <c:pt idx="12">
                  <c:v>43587</c:v>
                </c:pt>
                <c:pt idx="13">
                  <c:v>43588</c:v>
                </c:pt>
                <c:pt idx="14">
                  <c:v>43589</c:v>
                </c:pt>
                <c:pt idx="15">
                  <c:v>43590</c:v>
                </c:pt>
                <c:pt idx="16">
                  <c:v>43591</c:v>
                </c:pt>
                <c:pt idx="17">
                  <c:v>43592</c:v>
                </c:pt>
                <c:pt idx="18">
                  <c:v>43593</c:v>
                </c:pt>
                <c:pt idx="19">
                  <c:v>43594</c:v>
                </c:pt>
                <c:pt idx="20">
                  <c:v>43595</c:v>
                </c:pt>
                <c:pt idx="21">
                  <c:v>43596</c:v>
                </c:pt>
                <c:pt idx="22">
                  <c:v>43597</c:v>
                </c:pt>
                <c:pt idx="23">
                  <c:v>43598</c:v>
                </c:pt>
                <c:pt idx="24">
                  <c:v>43599</c:v>
                </c:pt>
                <c:pt idx="25">
                  <c:v>43600</c:v>
                </c:pt>
                <c:pt idx="26">
                  <c:v>43601</c:v>
                </c:pt>
                <c:pt idx="27">
                  <c:v>43602</c:v>
                </c:pt>
                <c:pt idx="28">
                  <c:v>43603</c:v>
                </c:pt>
                <c:pt idx="29">
                  <c:v>43604</c:v>
                </c:pt>
                <c:pt idx="30">
                  <c:v>43605</c:v>
                </c:pt>
                <c:pt idx="31">
                  <c:v>43606</c:v>
                </c:pt>
                <c:pt idx="32">
                  <c:v>43607</c:v>
                </c:pt>
                <c:pt idx="33">
                  <c:v>43608</c:v>
                </c:pt>
                <c:pt idx="34">
                  <c:v>43609</c:v>
                </c:pt>
                <c:pt idx="35">
                  <c:v>43610</c:v>
                </c:pt>
                <c:pt idx="36">
                  <c:v>43611</c:v>
                </c:pt>
                <c:pt idx="37">
                  <c:v>43612</c:v>
                </c:pt>
                <c:pt idx="38">
                  <c:v>43613</c:v>
                </c:pt>
                <c:pt idx="39">
                  <c:v>43614</c:v>
                </c:pt>
                <c:pt idx="40">
                  <c:v>43615</c:v>
                </c:pt>
                <c:pt idx="41">
                  <c:v>43616</c:v>
                </c:pt>
                <c:pt idx="42">
                  <c:v>43617</c:v>
                </c:pt>
                <c:pt idx="43">
                  <c:v>43618</c:v>
                </c:pt>
                <c:pt idx="44">
                  <c:v>43619</c:v>
                </c:pt>
                <c:pt idx="45">
                  <c:v>43620</c:v>
                </c:pt>
                <c:pt idx="46">
                  <c:v>43621</c:v>
                </c:pt>
                <c:pt idx="47">
                  <c:v>43622</c:v>
                </c:pt>
                <c:pt idx="48">
                  <c:v>43623</c:v>
                </c:pt>
                <c:pt idx="49">
                  <c:v>43624</c:v>
                </c:pt>
                <c:pt idx="50">
                  <c:v>43625</c:v>
                </c:pt>
                <c:pt idx="51">
                  <c:v>43626</c:v>
                </c:pt>
                <c:pt idx="52">
                  <c:v>43627</c:v>
                </c:pt>
                <c:pt idx="53">
                  <c:v>43628</c:v>
                </c:pt>
                <c:pt idx="54">
                  <c:v>43629</c:v>
                </c:pt>
                <c:pt idx="55">
                  <c:v>43630</c:v>
                </c:pt>
                <c:pt idx="56">
                  <c:v>43631</c:v>
                </c:pt>
                <c:pt idx="57">
                  <c:v>43632</c:v>
                </c:pt>
                <c:pt idx="58">
                  <c:v>43633</c:v>
                </c:pt>
                <c:pt idx="59">
                  <c:v>43634</c:v>
                </c:pt>
                <c:pt idx="60">
                  <c:v>43635</c:v>
                </c:pt>
                <c:pt idx="61">
                  <c:v>43636</c:v>
                </c:pt>
                <c:pt idx="62">
                  <c:v>43637</c:v>
                </c:pt>
                <c:pt idx="63">
                  <c:v>43638</c:v>
                </c:pt>
                <c:pt idx="64">
                  <c:v>43639</c:v>
                </c:pt>
                <c:pt idx="65">
                  <c:v>43640</c:v>
                </c:pt>
                <c:pt idx="66">
                  <c:v>43641</c:v>
                </c:pt>
                <c:pt idx="67">
                  <c:v>43642</c:v>
                </c:pt>
                <c:pt idx="68">
                  <c:v>43643</c:v>
                </c:pt>
                <c:pt idx="69">
                  <c:v>43644</c:v>
                </c:pt>
                <c:pt idx="70">
                  <c:v>43645</c:v>
                </c:pt>
                <c:pt idx="71">
                  <c:v>43646</c:v>
                </c:pt>
                <c:pt idx="72">
                  <c:v>43647</c:v>
                </c:pt>
                <c:pt idx="73">
                  <c:v>43648</c:v>
                </c:pt>
                <c:pt idx="74">
                  <c:v>43649</c:v>
                </c:pt>
                <c:pt idx="75">
                  <c:v>43650</c:v>
                </c:pt>
                <c:pt idx="76">
                  <c:v>43651</c:v>
                </c:pt>
                <c:pt idx="77">
                  <c:v>43652</c:v>
                </c:pt>
                <c:pt idx="78">
                  <c:v>43653</c:v>
                </c:pt>
                <c:pt idx="79">
                  <c:v>43654</c:v>
                </c:pt>
                <c:pt idx="80">
                  <c:v>43655</c:v>
                </c:pt>
                <c:pt idx="81">
                  <c:v>43656</c:v>
                </c:pt>
                <c:pt idx="82">
                  <c:v>43657</c:v>
                </c:pt>
                <c:pt idx="83">
                  <c:v>43658</c:v>
                </c:pt>
                <c:pt idx="84">
                  <c:v>43659</c:v>
                </c:pt>
                <c:pt idx="85">
                  <c:v>43660</c:v>
                </c:pt>
                <c:pt idx="86">
                  <c:v>43661</c:v>
                </c:pt>
                <c:pt idx="87">
                  <c:v>43662</c:v>
                </c:pt>
                <c:pt idx="88">
                  <c:v>43663</c:v>
                </c:pt>
                <c:pt idx="89">
                  <c:v>43664</c:v>
                </c:pt>
                <c:pt idx="90">
                  <c:v>43665</c:v>
                </c:pt>
                <c:pt idx="91">
                  <c:v>43666</c:v>
                </c:pt>
                <c:pt idx="92">
                  <c:v>43667</c:v>
                </c:pt>
                <c:pt idx="93">
                  <c:v>43668</c:v>
                </c:pt>
                <c:pt idx="94">
                  <c:v>43669</c:v>
                </c:pt>
                <c:pt idx="95">
                  <c:v>43670</c:v>
                </c:pt>
                <c:pt idx="96">
                  <c:v>43671</c:v>
                </c:pt>
                <c:pt idx="97">
                  <c:v>43672</c:v>
                </c:pt>
                <c:pt idx="98">
                  <c:v>43673</c:v>
                </c:pt>
                <c:pt idx="99">
                  <c:v>43674</c:v>
                </c:pt>
                <c:pt idx="100">
                  <c:v>43675</c:v>
                </c:pt>
                <c:pt idx="101">
                  <c:v>43676</c:v>
                </c:pt>
                <c:pt idx="102">
                  <c:v>43677</c:v>
                </c:pt>
                <c:pt idx="103">
                  <c:v>43678</c:v>
                </c:pt>
                <c:pt idx="104">
                  <c:v>43679</c:v>
                </c:pt>
                <c:pt idx="105">
                  <c:v>43680</c:v>
                </c:pt>
                <c:pt idx="106">
                  <c:v>43681</c:v>
                </c:pt>
                <c:pt idx="107">
                  <c:v>43682</c:v>
                </c:pt>
                <c:pt idx="108">
                  <c:v>43683</c:v>
                </c:pt>
                <c:pt idx="109">
                  <c:v>43684</c:v>
                </c:pt>
                <c:pt idx="110">
                  <c:v>43685</c:v>
                </c:pt>
                <c:pt idx="111">
                  <c:v>43686</c:v>
                </c:pt>
                <c:pt idx="112">
                  <c:v>43687</c:v>
                </c:pt>
                <c:pt idx="113">
                  <c:v>43688</c:v>
                </c:pt>
                <c:pt idx="114">
                  <c:v>43689</c:v>
                </c:pt>
                <c:pt idx="115">
                  <c:v>43690</c:v>
                </c:pt>
                <c:pt idx="116">
                  <c:v>43691</c:v>
                </c:pt>
                <c:pt idx="117">
                  <c:v>43692</c:v>
                </c:pt>
                <c:pt idx="118">
                  <c:v>43693</c:v>
                </c:pt>
                <c:pt idx="119">
                  <c:v>43694</c:v>
                </c:pt>
                <c:pt idx="120">
                  <c:v>43695</c:v>
                </c:pt>
                <c:pt idx="121">
                  <c:v>43696</c:v>
                </c:pt>
                <c:pt idx="122">
                  <c:v>43697</c:v>
                </c:pt>
                <c:pt idx="123">
                  <c:v>43698</c:v>
                </c:pt>
                <c:pt idx="124">
                  <c:v>43699</c:v>
                </c:pt>
                <c:pt idx="125">
                  <c:v>43700</c:v>
                </c:pt>
                <c:pt idx="126">
                  <c:v>43701</c:v>
                </c:pt>
                <c:pt idx="127">
                  <c:v>43702</c:v>
                </c:pt>
                <c:pt idx="128">
                  <c:v>43703</c:v>
                </c:pt>
                <c:pt idx="129">
                  <c:v>43704</c:v>
                </c:pt>
                <c:pt idx="130">
                  <c:v>43705</c:v>
                </c:pt>
                <c:pt idx="131">
                  <c:v>43706</c:v>
                </c:pt>
                <c:pt idx="132">
                  <c:v>43707</c:v>
                </c:pt>
                <c:pt idx="133">
                  <c:v>43708</c:v>
                </c:pt>
                <c:pt idx="134">
                  <c:v>43709</c:v>
                </c:pt>
              </c:numCache>
            </c:numRef>
          </c:cat>
          <c:val>
            <c:numRef>
              <c:f>'Soybeans Prevented Planting'!$BO$84:$BO$218</c:f>
              <c:numCache>
                <c:formatCode>General</c:formatCode>
                <c:ptCount val="1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1000</c:v>
                </c:pt>
                <c:pt idx="62">
                  <c:v>1000</c:v>
                </c:pt>
                <c:pt idx="63">
                  <c:v>1000</c:v>
                </c:pt>
                <c:pt idx="64">
                  <c:v>1000</c:v>
                </c:pt>
                <c:pt idx="65">
                  <c:v>1000</c:v>
                </c:pt>
                <c:pt idx="66">
                  <c:v>1000</c:v>
                </c:pt>
                <c:pt idx="67">
                  <c:v>1000</c:v>
                </c:pt>
                <c:pt idx="68">
                  <c:v>1000</c:v>
                </c:pt>
                <c:pt idx="69">
                  <c:v>1000</c:v>
                </c:pt>
                <c:pt idx="70">
                  <c:v>1000</c:v>
                </c:pt>
                <c:pt idx="71">
                  <c:v>1000</c:v>
                </c:pt>
                <c:pt idx="72">
                  <c:v>1000</c:v>
                </c:pt>
                <c:pt idx="73">
                  <c:v>1000</c:v>
                </c:pt>
                <c:pt idx="74">
                  <c:v>1000</c:v>
                </c:pt>
                <c:pt idx="75">
                  <c:v>1000</c:v>
                </c:pt>
                <c:pt idx="76">
                  <c:v>1000</c:v>
                </c:pt>
                <c:pt idx="77">
                  <c:v>1000</c:v>
                </c:pt>
                <c:pt idx="78">
                  <c:v>1000</c:v>
                </c:pt>
                <c:pt idx="79">
                  <c:v>1000</c:v>
                </c:pt>
                <c:pt idx="80">
                  <c:v>1000</c:v>
                </c:pt>
                <c:pt idx="81">
                  <c:v>1000</c:v>
                </c:pt>
                <c:pt idx="82">
                  <c:v>1000</c:v>
                </c:pt>
                <c:pt idx="83">
                  <c:v>1000</c:v>
                </c:pt>
                <c:pt idx="84">
                  <c:v>1000</c:v>
                </c:pt>
                <c:pt idx="85">
                  <c:v>1000</c:v>
                </c:pt>
                <c:pt idx="86">
                  <c:v>1000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numCache>
            </c:numRef>
          </c:val>
          <c:extLst>
            <c:ext xmlns:c16="http://schemas.microsoft.com/office/drawing/2014/chart" uri="{C3380CC4-5D6E-409C-BE32-E72D297353CC}">
              <c16:uniqueId val="{00000001-BB90-4232-8F87-702AAA8186C4}"/>
            </c:ext>
          </c:extLst>
        </c:ser>
        <c:dLbls>
          <c:showLegendKey val="0"/>
          <c:showVal val="0"/>
          <c:showCatName val="0"/>
          <c:showSerName val="0"/>
          <c:showPercent val="0"/>
          <c:showBubbleSize val="0"/>
        </c:dLbls>
        <c:gapWidth val="0"/>
        <c:overlap val="100"/>
        <c:axId val="384017528"/>
        <c:axId val="384848280"/>
      </c:barChart>
      <c:lineChart>
        <c:grouping val="standard"/>
        <c:varyColors val="0"/>
        <c:ser>
          <c:idx val="1"/>
          <c:order val="2"/>
          <c:tx>
            <c:strRef>
              <c:f>'Soybeans Prevented Planting'!$BG$82</c:f>
              <c:strCache>
                <c:ptCount val="1"/>
                <c:pt idx="0">
                  <c:v>Prevented Planting Payment</c:v>
                </c:pt>
              </c:strCache>
            </c:strRef>
          </c:tx>
          <c:spPr>
            <a:ln w="50800"/>
          </c:spPr>
          <c:marker>
            <c:symbol val="none"/>
          </c:marker>
          <c:val>
            <c:numRef>
              <c:f>'Soybeans Prevented Planting'!$BG$84:$BG$218</c:f>
              <c:numCache>
                <c:formatCode>"$"#,##0.00_);[Red]\("$"#,##0.00\)</c:formatCode>
                <c:ptCount val="13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184.18499999999997</c:v>
                </c:pt>
                <c:pt idx="87">
                  <c:v>184.18499999999997</c:v>
                </c:pt>
                <c:pt idx="88">
                  <c:v>184.18499999999997</c:v>
                </c:pt>
                <c:pt idx="89">
                  <c:v>184.18499999999997</c:v>
                </c:pt>
                <c:pt idx="90">
                  <c:v>184.18499999999997</c:v>
                </c:pt>
                <c:pt idx="91">
                  <c:v>184.18499999999997</c:v>
                </c:pt>
                <c:pt idx="92">
                  <c:v>184.18499999999997</c:v>
                </c:pt>
                <c:pt idx="93">
                  <c:v>184.18499999999997</c:v>
                </c:pt>
                <c:pt idx="94">
                  <c:v>184.18499999999997</c:v>
                </c:pt>
                <c:pt idx="95">
                  <c:v>184.18499999999997</c:v>
                </c:pt>
                <c:pt idx="96">
                  <c:v>184.18499999999997</c:v>
                </c:pt>
                <c:pt idx="97">
                  <c:v>184.18499999999997</c:v>
                </c:pt>
                <c:pt idx="98">
                  <c:v>184.18499999999997</c:v>
                </c:pt>
                <c:pt idx="99">
                  <c:v>184.18499999999997</c:v>
                </c:pt>
                <c:pt idx="100">
                  <c:v>184.18499999999997</c:v>
                </c:pt>
                <c:pt idx="101">
                  <c:v>184.18499999999997</c:v>
                </c:pt>
                <c:pt idx="102">
                  <c:v>184.18499999999997</c:v>
                </c:pt>
                <c:pt idx="103">
                  <c:v>184.18499999999997</c:v>
                </c:pt>
                <c:pt idx="104">
                  <c:v>184.18499999999997</c:v>
                </c:pt>
                <c:pt idx="105">
                  <c:v>184.18499999999997</c:v>
                </c:pt>
                <c:pt idx="106">
                  <c:v>184.18499999999997</c:v>
                </c:pt>
                <c:pt idx="107">
                  <c:v>184.18499999999997</c:v>
                </c:pt>
                <c:pt idx="108">
                  <c:v>184.18499999999997</c:v>
                </c:pt>
                <c:pt idx="109">
                  <c:v>184.18499999999997</c:v>
                </c:pt>
                <c:pt idx="110">
                  <c:v>184.18499999999997</c:v>
                </c:pt>
                <c:pt idx="111">
                  <c:v>184.18499999999997</c:v>
                </c:pt>
                <c:pt idx="112">
                  <c:v>184.18499999999997</c:v>
                </c:pt>
                <c:pt idx="113">
                  <c:v>184.18499999999997</c:v>
                </c:pt>
                <c:pt idx="114">
                  <c:v>184.18499999999997</c:v>
                </c:pt>
                <c:pt idx="115">
                  <c:v>184.18499999999997</c:v>
                </c:pt>
                <c:pt idx="116">
                  <c:v>184.18499999999997</c:v>
                </c:pt>
                <c:pt idx="117">
                  <c:v>184.18499999999997</c:v>
                </c:pt>
                <c:pt idx="118">
                  <c:v>184.18499999999997</c:v>
                </c:pt>
                <c:pt idx="119">
                  <c:v>184.18499999999997</c:v>
                </c:pt>
                <c:pt idx="120">
                  <c:v>184.18499999999997</c:v>
                </c:pt>
                <c:pt idx="121">
                  <c:v>184.18499999999997</c:v>
                </c:pt>
                <c:pt idx="122">
                  <c:v>184.18499999999997</c:v>
                </c:pt>
                <c:pt idx="123">
                  <c:v>184.18499999999997</c:v>
                </c:pt>
                <c:pt idx="124">
                  <c:v>184.18499999999997</c:v>
                </c:pt>
                <c:pt idx="125">
                  <c:v>184.18499999999997</c:v>
                </c:pt>
                <c:pt idx="126">
                  <c:v>184.18499999999997</c:v>
                </c:pt>
                <c:pt idx="127">
                  <c:v>184.18499999999997</c:v>
                </c:pt>
                <c:pt idx="128">
                  <c:v>184.18499999999997</c:v>
                </c:pt>
                <c:pt idx="129">
                  <c:v>184.18499999999997</c:v>
                </c:pt>
                <c:pt idx="130">
                  <c:v>184.18499999999997</c:v>
                </c:pt>
                <c:pt idx="131">
                  <c:v>184.18499999999997</c:v>
                </c:pt>
                <c:pt idx="132">
                  <c:v>184.18499999999997</c:v>
                </c:pt>
                <c:pt idx="133">
                  <c:v>184.18499999999997</c:v>
                </c:pt>
                <c:pt idx="134">
                  <c:v>184.18499999999997</c:v>
                </c:pt>
              </c:numCache>
            </c:numRef>
          </c:val>
          <c:smooth val="0"/>
          <c:extLst>
            <c:ext xmlns:c16="http://schemas.microsoft.com/office/drawing/2014/chart" uri="{C3380CC4-5D6E-409C-BE32-E72D297353CC}">
              <c16:uniqueId val="{00000002-BB90-4232-8F87-702AAA8186C4}"/>
            </c:ext>
          </c:extLst>
        </c:ser>
        <c:ser>
          <c:idx val="5"/>
          <c:order val="3"/>
          <c:tx>
            <c:strRef>
              <c:f>'Soybeans Prevented Planting'!$BI$82</c:f>
              <c:strCache>
                <c:ptCount val="1"/>
                <c:pt idx="0">
                  <c:v>Plant Soybeans Late</c:v>
                </c:pt>
              </c:strCache>
            </c:strRef>
          </c:tx>
          <c:spPr>
            <a:ln w="50800">
              <a:solidFill>
                <a:schemeClr val="accent6"/>
              </a:solidFill>
            </a:ln>
          </c:spPr>
          <c:marker>
            <c:symbol val="none"/>
          </c:marker>
          <c:val>
            <c:numRef>
              <c:f>'Soybeans Prevented Planting'!$BI$84:$BI$218</c:f>
              <c:numCache>
                <c:formatCode>General</c:formatCode>
                <c:ptCount val="135"/>
                <c:pt idx="0">
                  <c:v>400.77275508902966</c:v>
                </c:pt>
                <c:pt idx="1">
                  <c:v>402.28894556751476</c:v>
                </c:pt>
                <c:pt idx="2">
                  <c:v>403.70360544510186</c:v>
                </c:pt>
                <c:pt idx="3">
                  <c:v>405.01673470325767</c:v>
                </c:pt>
                <c:pt idx="4">
                  <c:v>406.22833330491557</c:v>
                </c:pt>
                <c:pt idx="5">
                  <c:v>407.3384013242088</c:v>
                </c:pt>
                <c:pt idx="6">
                  <c:v>408.3469387426041</c:v>
                </c:pt>
                <c:pt idx="7">
                  <c:v>409.25394556010144</c:v>
                </c:pt>
                <c:pt idx="8">
                  <c:v>410.05942175816745</c:v>
                </c:pt>
                <c:pt idx="9">
                  <c:v>410.76336733680216</c:v>
                </c:pt>
                <c:pt idx="10">
                  <c:v>411.36578229600565</c:v>
                </c:pt>
                <c:pt idx="11">
                  <c:v>411.86666665431113</c:v>
                </c:pt>
                <c:pt idx="12">
                  <c:v>412.26602041171861</c:v>
                </c:pt>
                <c:pt idx="13">
                  <c:v>412.56384353116152</c:v>
                </c:pt>
                <c:pt idx="14">
                  <c:v>412.76013604970649</c:v>
                </c:pt>
                <c:pt idx="15">
                  <c:v>412.85489796735345</c:v>
                </c:pt>
                <c:pt idx="16">
                  <c:v>412.8481292285025</c:v>
                </c:pt>
                <c:pt idx="17">
                  <c:v>412.73982990728689</c:v>
                </c:pt>
                <c:pt idx="18">
                  <c:v>412.52999998517333</c:v>
                </c:pt>
                <c:pt idx="19">
                  <c:v>412.21863944362849</c:v>
                </c:pt>
                <c:pt idx="20">
                  <c:v>411.80574828265236</c:v>
                </c:pt>
                <c:pt idx="21">
                  <c:v>411.29132652077823</c:v>
                </c:pt>
                <c:pt idx="22">
                  <c:v>410.67537413947286</c:v>
                </c:pt>
                <c:pt idx="23">
                  <c:v>409.9578911572695</c:v>
                </c:pt>
                <c:pt idx="24">
                  <c:v>409.13887755563485</c:v>
                </c:pt>
                <c:pt idx="25">
                  <c:v>408.21833333456891</c:v>
                </c:pt>
                <c:pt idx="26">
                  <c:v>407.19625851260497</c:v>
                </c:pt>
                <c:pt idx="27">
                  <c:v>406.0726530712098</c:v>
                </c:pt>
                <c:pt idx="28">
                  <c:v>404.84751697331666</c:v>
                </c:pt>
                <c:pt idx="29">
                  <c:v>403.5208503115922</c:v>
                </c:pt>
                <c:pt idx="30">
                  <c:v>402.09265303043651</c:v>
                </c:pt>
                <c:pt idx="31">
                  <c:v>400.56292514838276</c:v>
                </c:pt>
                <c:pt idx="32">
                  <c:v>398.93166664689778</c:v>
                </c:pt>
                <c:pt idx="33">
                  <c:v>397.19887754451486</c:v>
                </c:pt>
                <c:pt idx="34">
                  <c:v>395.36455782270059</c:v>
                </c:pt>
                <c:pt idx="35">
                  <c:v>393.42870748145504</c:v>
                </c:pt>
                <c:pt idx="36">
                  <c:v>391.39132652077825</c:v>
                </c:pt>
                <c:pt idx="37">
                  <c:v>389.25241495920346</c:v>
                </c:pt>
                <c:pt idx="38">
                  <c:v>387.01197279673067</c:v>
                </c:pt>
                <c:pt idx="39">
                  <c:v>384.66999997776003</c:v>
                </c:pt>
                <c:pt idx="40">
                  <c:v>382.22649657642467</c:v>
                </c:pt>
                <c:pt idx="41">
                  <c:v>379.68146255565807</c:v>
                </c:pt>
                <c:pt idx="42">
                  <c:v>377.03489793399348</c:v>
                </c:pt>
                <c:pt idx="43">
                  <c:v>374.28680271143094</c:v>
                </c:pt>
                <c:pt idx="44">
                  <c:v>371.43717685090377</c:v>
                </c:pt>
                <c:pt idx="45">
                  <c:v>368.48602038947865</c:v>
                </c:pt>
                <c:pt idx="46">
                  <c:v>365.43333332715554</c:v>
                </c:pt>
                <c:pt idx="47">
                  <c:v>362.27911564540119</c:v>
                </c:pt>
                <c:pt idx="48">
                  <c:v>359.0233673442155</c:v>
                </c:pt>
                <c:pt idx="49">
                  <c:v>355.66608844213187</c:v>
                </c:pt>
                <c:pt idx="50">
                  <c:v>352.20727892061694</c:v>
                </c:pt>
                <c:pt idx="51">
                  <c:v>348.64693874260411</c:v>
                </c:pt>
                <c:pt idx="52">
                  <c:v>344.98506800075995</c:v>
                </c:pt>
                <c:pt idx="53">
                  <c:v>341.22166663948445</c:v>
                </c:pt>
                <c:pt idx="54">
                  <c:v>337.35673467731101</c:v>
                </c:pt>
                <c:pt idx="55">
                  <c:v>333.39027209570634</c:v>
                </c:pt>
                <c:pt idx="56">
                  <c:v>329.32227889467032</c:v>
                </c:pt>
                <c:pt idx="57">
                  <c:v>325.15275509273636</c:v>
                </c:pt>
                <c:pt idx="58">
                  <c:v>320.88170067137105</c:v>
                </c:pt>
                <c:pt idx="59">
                  <c:v>316.50911564910786</c:v>
                </c:pt>
                <c:pt idx="60">
                  <c:v>312.03500000741332</c:v>
                </c:pt>
                <c:pt idx="61">
                  <c:v>307.45935374628755</c:v>
                </c:pt>
                <c:pt idx="62">
                  <c:v>302.78217688426378</c:v>
                </c:pt>
                <c:pt idx="63">
                  <c:v>298.00346936574203</c:v>
                </c:pt>
                <c:pt idx="64">
                  <c:v>293.12323126485569</c:v>
                </c:pt>
                <c:pt idx="65">
                  <c:v>288.1414625630714</c:v>
                </c:pt>
                <c:pt idx="66">
                  <c:v>283.05816324185582</c:v>
                </c:pt>
                <c:pt idx="67">
                  <c:v>277.87333331974224</c:v>
                </c:pt>
                <c:pt idx="68">
                  <c:v>272.58697277819738</c:v>
                </c:pt>
                <c:pt idx="69">
                  <c:v>267.19908161722122</c:v>
                </c:pt>
                <c:pt idx="70">
                  <c:v>261.70965985534713</c:v>
                </c:pt>
                <c:pt idx="71">
                  <c:v>256.11870747404174</c:v>
                </c:pt>
                <c:pt idx="72">
                  <c:v>250.42622449183835</c:v>
                </c:pt>
                <c:pt idx="73">
                  <c:v>244.63221089020371</c:v>
                </c:pt>
                <c:pt idx="74">
                  <c:v>238.73666663207115</c:v>
                </c:pt>
                <c:pt idx="75">
                  <c:v>232.73959181010724</c:v>
                </c:pt>
                <c:pt idx="76">
                  <c:v>226.64098636871199</c:v>
                </c:pt>
                <c:pt idx="77">
                  <c:v>220.44085032641888</c:v>
                </c:pt>
                <c:pt idx="78">
                  <c:v>214.13918364616111</c:v>
                </c:pt>
                <c:pt idx="79">
                  <c:v>209.56525170022624</c:v>
                </c:pt>
                <c:pt idx="80">
                  <c:v>205.92221768623222</c:v>
                </c:pt>
                <c:pt idx="81">
                  <c:v>202.27500000000009</c:v>
                </c:pt>
                <c:pt idx="82">
                  <c:v>198.62359863923865</c:v>
                </c:pt>
                <c:pt idx="83">
                  <c:v>194.96801360547545</c:v>
                </c:pt>
                <c:pt idx="84">
                  <c:v>191.30824489794674</c:v>
                </c:pt>
                <c:pt idx="85">
                  <c:v>187.6442925174162</c:v>
                </c:pt>
                <c:pt idx="86">
                  <c:v>183.97615646159275</c:v>
                </c:pt>
                <c:pt idx="87">
                  <c:v>152.85530609423296</c:v>
                </c:pt>
                <c:pt idx="88">
                  <c:v>145.53833331232892</c:v>
                </c:pt>
                <c:pt idx="89">
                  <c:v>138.11982991099359</c:v>
                </c:pt>
                <c:pt idx="90">
                  <c:v>132.13677550980822</c:v>
                </c:pt>
                <c:pt idx="91">
                  <c:v>131.82272108821198</c:v>
                </c:pt>
                <c:pt idx="92">
                  <c:v>131.50448299285023</c:v>
                </c:pt>
                <c:pt idx="93">
                  <c:v>131.18206122448669</c:v>
                </c:pt>
                <c:pt idx="94">
                  <c:v>130.85545578235758</c:v>
                </c:pt>
                <c:pt idx="95">
                  <c:v>130.52466666646302</c:v>
                </c:pt>
                <c:pt idx="96">
                  <c:v>130.18969387756658</c:v>
                </c:pt>
                <c:pt idx="97">
                  <c:v>129.85053741490469</c:v>
                </c:pt>
                <c:pt idx="98">
                  <c:v>129.50719727771354</c:v>
                </c:pt>
                <c:pt idx="99">
                  <c:v>129.1596734682843</c:v>
                </c:pt>
                <c:pt idx="100">
                  <c:v>128.80796598508954</c:v>
                </c:pt>
                <c:pt idx="101">
                  <c:v>128.45207482889293</c:v>
                </c:pt>
                <c:pt idx="102">
                  <c:v>128.09199999969451</c:v>
                </c:pt>
                <c:pt idx="103">
                  <c:v>127.72774149596691</c:v>
                </c:pt>
                <c:pt idx="104">
                  <c:v>127.35929931923744</c:v>
                </c:pt>
                <c:pt idx="105">
                  <c:v>126.98667346874251</c:v>
                </c:pt>
                <c:pt idx="106">
                  <c:v>126.60986394524572</c:v>
                </c:pt>
                <c:pt idx="107">
                  <c:v>126.22887074798342</c:v>
                </c:pt>
                <c:pt idx="108">
                  <c:v>125.8436938777193</c:v>
                </c:pt>
                <c:pt idx="109">
                  <c:v>125.45433333368968</c:v>
                </c:pt>
                <c:pt idx="110">
                  <c:v>125.06078911436721</c:v>
                </c:pt>
                <c:pt idx="111">
                  <c:v>124.66306122357022</c:v>
                </c:pt>
                <c:pt idx="112">
                  <c:v>124.26114965900777</c:v>
                </c:pt>
                <c:pt idx="113">
                  <c:v>123.85505442067978</c:v>
                </c:pt>
                <c:pt idx="114">
                  <c:v>123.44477550934997</c:v>
                </c:pt>
                <c:pt idx="115">
                  <c:v>123.03031292501834</c:v>
                </c:pt>
                <c:pt idx="116">
                  <c:v>122.6116666661575</c:v>
                </c:pt>
                <c:pt idx="117">
                  <c:v>122.18883673429485</c:v>
                </c:pt>
                <c:pt idx="118">
                  <c:v>121.76182312943037</c:v>
                </c:pt>
                <c:pt idx="119">
                  <c:v>121.33062585003671</c:v>
                </c:pt>
                <c:pt idx="120">
                  <c:v>120.8952448984049</c:v>
                </c:pt>
                <c:pt idx="121">
                  <c:v>120.45568027071654</c:v>
                </c:pt>
                <c:pt idx="122">
                  <c:v>120.01193197155368</c:v>
                </c:pt>
                <c:pt idx="123">
                  <c:v>119.56399999938904</c:v>
                </c:pt>
                <c:pt idx="124">
                  <c:v>119.11188435269516</c:v>
                </c:pt>
                <c:pt idx="125">
                  <c:v>118.65558503299948</c:v>
                </c:pt>
                <c:pt idx="126">
                  <c:v>118.19510204030198</c:v>
                </c:pt>
                <c:pt idx="127">
                  <c:v>117.73043537383896</c:v>
                </c:pt>
                <c:pt idx="128">
                  <c:v>117.26158503361043</c:v>
                </c:pt>
                <c:pt idx="129">
                  <c:v>116.78855102038007</c:v>
                </c:pt>
                <c:pt idx="130">
                  <c:v>116.31133333338418</c:v>
                </c:pt>
                <c:pt idx="131">
                  <c:v>115.82993197262286</c:v>
                </c:pt>
                <c:pt idx="132">
                  <c:v>115.34434693885962</c:v>
                </c:pt>
                <c:pt idx="133">
                  <c:v>114.85457822980354</c:v>
                </c:pt>
                <c:pt idx="134">
                  <c:v>114.36062584927302</c:v>
                </c:pt>
              </c:numCache>
            </c:numRef>
          </c:val>
          <c:smooth val="0"/>
          <c:extLst>
            <c:ext xmlns:c16="http://schemas.microsoft.com/office/drawing/2014/chart" uri="{C3380CC4-5D6E-409C-BE32-E72D297353CC}">
              <c16:uniqueId val="{00000003-BB90-4232-8F87-702AAA8186C4}"/>
            </c:ext>
          </c:extLst>
        </c:ser>
        <c:dLbls>
          <c:showLegendKey val="0"/>
          <c:showVal val="0"/>
          <c:showCatName val="0"/>
          <c:showSerName val="0"/>
          <c:showPercent val="0"/>
          <c:showBubbleSize val="0"/>
        </c:dLbls>
        <c:marker val="1"/>
        <c:smooth val="0"/>
        <c:axId val="384017528"/>
        <c:axId val="384848280"/>
      </c:lineChart>
      <c:dateAx>
        <c:axId val="384017528"/>
        <c:scaling>
          <c:orientation val="minMax"/>
        </c:scaling>
        <c:delete val="0"/>
        <c:axPos val="b"/>
        <c:numFmt formatCode="d\-mmm" sourceLinked="1"/>
        <c:majorTickMark val="out"/>
        <c:minorTickMark val="none"/>
        <c:tickLblPos val="nextTo"/>
        <c:txPr>
          <a:bodyPr rot="-1260000"/>
          <a:lstStyle/>
          <a:p>
            <a:pPr>
              <a:defRPr sz="1400"/>
            </a:pPr>
            <a:endParaRPr lang="en-US"/>
          </a:p>
        </c:txPr>
        <c:crossAx val="384848280"/>
        <c:crosses val="autoZero"/>
        <c:auto val="1"/>
        <c:lblOffset val="100"/>
        <c:baseTimeUnit val="days"/>
        <c:majorUnit val="7"/>
        <c:minorUnit val="7"/>
      </c:dateAx>
      <c:valAx>
        <c:axId val="384848280"/>
        <c:scaling>
          <c:orientation val="minMax"/>
        </c:scaling>
        <c:delete val="0"/>
        <c:axPos val="l"/>
        <c:majorGridlines/>
        <c:title>
          <c:tx>
            <c:rich>
              <a:bodyPr rot="-5400000" vert="horz"/>
              <a:lstStyle/>
              <a:p>
                <a:pPr>
                  <a:defRPr sz="1400"/>
                </a:pPr>
                <a:r>
                  <a:rPr lang="en-US" sz="1400"/>
                  <a:t>Net Income Per Acre</a:t>
                </a:r>
              </a:p>
            </c:rich>
          </c:tx>
          <c:overlay val="0"/>
        </c:title>
        <c:numFmt formatCode="&quot;$&quot;#,##0" sourceLinked="0"/>
        <c:majorTickMark val="out"/>
        <c:minorTickMark val="none"/>
        <c:tickLblPos val="nextTo"/>
        <c:txPr>
          <a:bodyPr/>
          <a:lstStyle/>
          <a:p>
            <a:pPr>
              <a:defRPr sz="1400"/>
            </a:pPr>
            <a:endParaRPr lang="en-US"/>
          </a:p>
        </c:txPr>
        <c:crossAx val="38401752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1</xdr:row>
      <xdr:rowOff>200025</xdr:rowOff>
    </xdr:from>
    <xdr:to>
      <xdr:col>4</xdr:col>
      <xdr:colOff>417977</xdr:colOff>
      <xdr:row>4</xdr:row>
      <xdr:rowOff>123606</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438150"/>
          <a:ext cx="1580027" cy="485556"/>
        </a:xfrm>
        <a:prstGeom prst="rect">
          <a:avLst/>
        </a:prstGeom>
      </xdr:spPr>
    </xdr:pic>
    <xdr:clientData/>
  </xdr:twoCellAnchor>
  <xdr:twoCellAnchor>
    <xdr:from>
      <xdr:col>2</xdr:col>
      <xdr:colOff>19050</xdr:colOff>
      <xdr:row>5</xdr:row>
      <xdr:rowOff>85725</xdr:rowOff>
    </xdr:from>
    <xdr:to>
      <xdr:col>4</xdr:col>
      <xdr:colOff>542925</xdr:colOff>
      <xdr:row>8</xdr:row>
      <xdr:rowOff>135031</xdr:rowOff>
    </xdr:to>
    <xdr:sp macro="" textlink="">
      <xdr:nvSpPr>
        <xdr:cNvPr id="4" name="TextBox 3"/>
        <xdr:cNvSpPr txBox="1"/>
      </xdr:nvSpPr>
      <xdr:spPr>
        <a:xfrm>
          <a:off x="247650" y="1047750"/>
          <a:ext cx="1743075" cy="5350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Times New Roman" pitchFamily="18" charset="0"/>
              <a:cs typeface="Times New Roman" pitchFamily="18" charset="0"/>
            </a:rPr>
            <a:t>Developed By:</a:t>
          </a:r>
        </a:p>
        <a:p>
          <a:r>
            <a:rPr lang="en-US" sz="1400">
              <a:latin typeface="Times New Roman" pitchFamily="18" charset="0"/>
              <a:cs typeface="Times New Roman" pitchFamily="18" charset="0"/>
            </a:rPr>
            <a:t>Dr. Raymond Massey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222717</xdr:colOff>
      <xdr:row>6</xdr:row>
      <xdr:rowOff>65834</xdr:rowOff>
    </xdr:from>
    <xdr:to>
      <xdr:col>32</xdr:col>
      <xdr:colOff>190500</xdr:colOff>
      <xdr:row>46</xdr:row>
      <xdr:rowOff>89647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1725706</xdr:colOff>
      <xdr:row>50</xdr:row>
      <xdr:rowOff>78441</xdr:rowOff>
    </xdr:from>
    <xdr:to>
      <xdr:col>7</xdr:col>
      <xdr:colOff>123265</xdr:colOff>
      <xdr:row>53</xdr:row>
      <xdr:rowOff>89647</xdr:rowOff>
    </xdr:to>
    <xdr:sp macro="" textlink="">
      <xdr:nvSpPr>
        <xdr:cNvPr id="4" name="TextBox 3"/>
        <xdr:cNvSpPr txBox="1"/>
      </xdr:nvSpPr>
      <xdr:spPr>
        <a:xfrm>
          <a:off x="1916206" y="9323294"/>
          <a:ext cx="2532530" cy="526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Times New Roman" pitchFamily="18" charset="0"/>
              <a:cs typeface="Times New Roman" pitchFamily="18" charset="0"/>
            </a:rPr>
            <a:t>Developed By:</a:t>
          </a:r>
        </a:p>
        <a:p>
          <a:r>
            <a:rPr lang="en-US" sz="1400">
              <a:latin typeface="Times New Roman" pitchFamily="18" charset="0"/>
              <a:cs typeface="Times New Roman" pitchFamily="18" charset="0"/>
            </a:rPr>
            <a:t>Dr. Raymond Massey</a:t>
          </a:r>
        </a:p>
      </xdr:txBody>
    </xdr:sp>
    <xdr:clientData/>
  </xdr:twoCellAnchor>
  <xdr:twoCellAnchor editAs="oneCell">
    <xdr:from>
      <xdr:col>2</xdr:col>
      <xdr:colOff>44826</xdr:colOff>
      <xdr:row>50</xdr:row>
      <xdr:rowOff>123266</xdr:rowOff>
    </xdr:from>
    <xdr:to>
      <xdr:col>2</xdr:col>
      <xdr:colOff>1624853</xdr:colOff>
      <xdr:row>53</xdr:row>
      <xdr:rowOff>84947</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5326" y="9368119"/>
          <a:ext cx="1580027" cy="4771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56029</xdr:colOff>
      <xdr:row>7</xdr:row>
      <xdr:rowOff>89647</xdr:rowOff>
    </xdr:from>
    <xdr:to>
      <xdr:col>45</xdr:col>
      <xdr:colOff>369794</xdr:colOff>
      <xdr:row>47</xdr:row>
      <xdr:rowOff>56029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1703292</xdr:colOff>
      <xdr:row>51</xdr:row>
      <xdr:rowOff>67234</xdr:rowOff>
    </xdr:from>
    <xdr:to>
      <xdr:col>7</xdr:col>
      <xdr:colOff>100851</xdr:colOff>
      <xdr:row>54</xdr:row>
      <xdr:rowOff>78440</xdr:rowOff>
    </xdr:to>
    <xdr:sp macro="" textlink="">
      <xdr:nvSpPr>
        <xdr:cNvPr id="3" name="TextBox 2"/>
        <xdr:cNvSpPr txBox="1"/>
      </xdr:nvSpPr>
      <xdr:spPr>
        <a:xfrm>
          <a:off x="1893792" y="9312087"/>
          <a:ext cx="2532530" cy="526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Times New Roman" pitchFamily="18" charset="0"/>
              <a:cs typeface="Times New Roman" pitchFamily="18" charset="0"/>
            </a:rPr>
            <a:t>Developed By:</a:t>
          </a:r>
        </a:p>
        <a:p>
          <a:r>
            <a:rPr lang="en-US" sz="1400">
              <a:latin typeface="Times New Roman" pitchFamily="18" charset="0"/>
              <a:cs typeface="Times New Roman" pitchFamily="18" charset="0"/>
            </a:rPr>
            <a:t>Dr. Raymond Massey</a:t>
          </a:r>
        </a:p>
      </xdr:txBody>
    </xdr:sp>
    <xdr:clientData/>
  </xdr:twoCellAnchor>
  <xdr:twoCellAnchor editAs="oneCell">
    <xdr:from>
      <xdr:col>2</xdr:col>
      <xdr:colOff>22412</xdr:colOff>
      <xdr:row>51</xdr:row>
      <xdr:rowOff>112059</xdr:rowOff>
    </xdr:from>
    <xdr:to>
      <xdr:col>2</xdr:col>
      <xdr:colOff>1602439</xdr:colOff>
      <xdr:row>54</xdr:row>
      <xdr:rowOff>73741</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2912" y="9356912"/>
          <a:ext cx="1580027" cy="4771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29</xdr:col>
      <xdr:colOff>56029</xdr:colOff>
      <xdr:row>7</xdr:row>
      <xdr:rowOff>89647</xdr:rowOff>
    </xdr:from>
    <xdr:to>
      <xdr:col>47</xdr:col>
      <xdr:colOff>78441</xdr:colOff>
      <xdr:row>46</xdr:row>
      <xdr:rowOff>56029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1703292</xdr:colOff>
      <xdr:row>50</xdr:row>
      <xdr:rowOff>44823</xdr:rowOff>
    </xdr:from>
    <xdr:to>
      <xdr:col>7</xdr:col>
      <xdr:colOff>762001</xdr:colOff>
      <xdr:row>53</xdr:row>
      <xdr:rowOff>56029</xdr:rowOff>
    </xdr:to>
    <xdr:sp macro="" textlink="">
      <xdr:nvSpPr>
        <xdr:cNvPr id="3" name="TextBox 2"/>
        <xdr:cNvSpPr txBox="1"/>
      </xdr:nvSpPr>
      <xdr:spPr>
        <a:xfrm>
          <a:off x="1893792" y="9289676"/>
          <a:ext cx="2028268" cy="526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Times New Roman" pitchFamily="18" charset="0"/>
              <a:cs typeface="Times New Roman" pitchFamily="18" charset="0"/>
            </a:rPr>
            <a:t>Developed By:</a:t>
          </a:r>
        </a:p>
        <a:p>
          <a:r>
            <a:rPr lang="en-US" sz="1400">
              <a:latin typeface="Times New Roman" pitchFamily="18" charset="0"/>
              <a:cs typeface="Times New Roman" pitchFamily="18" charset="0"/>
            </a:rPr>
            <a:t>Dr. Raymond Massey</a:t>
          </a:r>
        </a:p>
      </xdr:txBody>
    </xdr:sp>
    <xdr:clientData/>
  </xdr:twoCellAnchor>
  <xdr:twoCellAnchor editAs="oneCell">
    <xdr:from>
      <xdr:col>2</xdr:col>
      <xdr:colOff>22412</xdr:colOff>
      <xdr:row>50</xdr:row>
      <xdr:rowOff>89648</xdr:rowOff>
    </xdr:from>
    <xdr:to>
      <xdr:col>2</xdr:col>
      <xdr:colOff>1602439</xdr:colOff>
      <xdr:row>53</xdr:row>
      <xdr:rowOff>51329</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2912" y="9334501"/>
          <a:ext cx="1580027" cy="4771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56029</xdr:colOff>
      <xdr:row>7</xdr:row>
      <xdr:rowOff>89647</xdr:rowOff>
    </xdr:from>
    <xdr:to>
      <xdr:col>47</xdr:col>
      <xdr:colOff>78441</xdr:colOff>
      <xdr:row>46</xdr:row>
      <xdr:rowOff>56029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1714496</xdr:colOff>
      <xdr:row>50</xdr:row>
      <xdr:rowOff>33617</xdr:rowOff>
    </xdr:from>
    <xdr:to>
      <xdr:col>7</xdr:col>
      <xdr:colOff>1064558</xdr:colOff>
      <xdr:row>53</xdr:row>
      <xdr:rowOff>44823</xdr:rowOff>
    </xdr:to>
    <xdr:sp macro="" textlink="">
      <xdr:nvSpPr>
        <xdr:cNvPr id="3" name="TextBox 2"/>
        <xdr:cNvSpPr txBox="1"/>
      </xdr:nvSpPr>
      <xdr:spPr>
        <a:xfrm>
          <a:off x="1904996" y="9424146"/>
          <a:ext cx="2319621" cy="526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Times New Roman" pitchFamily="18" charset="0"/>
              <a:cs typeface="Times New Roman" pitchFamily="18" charset="0"/>
            </a:rPr>
            <a:t>Developed By:</a:t>
          </a:r>
        </a:p>
        <a:p>
          <a:r>
            <a:rPr lang="en-US" sz="1400">
              <a:latin typeface="Times New Roman" pitchFamily="18" charset="0"/>
              <a:cs typeface="Times New Roman" pitchFamily="18" charset="0"/>
            </a:rPr>
            <a:t>Dr. Raymond Massey</a:t>
          </a:r>
        </a:p>
      </xdr:txBody>
    </xdr:sp>
    <xdr:clientData/>
  </xdr:twoCellAnchor>
  <xdr:twoCellAnchor editAs="oneCell">
    <xdr:from>
      <xdr:col>2</xdr:col>
      <xdr:colOff>33617</xdr:colOff>
      <xdr:row>50</xdr:row>
      <xdr:rowOff>78442</xdr:rowOff>
    </xdr:from>
    <xdr:to>
      <xdr:col>2</xdr:col>
      <xdr:colOff>1613644</xdr:colOff>
      <xdr:row>53</xdr:row>
      <xdr:rowOff>40123</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4117" y="9323295"/>
          <a:ext cx="1580027" cy="4771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E286"/>
  <sheetViews>
    <sheetView tabSelected="1" workbookViewId="0">
      <selection activeCell="L17" sqref="L17"/>
    </sheetView>
  </sheetViews>
  <sheetFormatPr defaultRowHeight="12.75"/>
  <cols>
    <col min="1" max="2" width="1.7109375" style="269" customWidth="1"/>
    <col min="3" max="15" width="9.140625" style="269"/>
    <col min="16" max="16" width="5.7109375" style="269" customWidth="1"/>
    <col min="17" max="17" width="9.140625" style="269"/>
    <col min="18" max="18" width="14.42578125" style="269" bestFit="1" customWidth="1"/>
    <col min="19" max="16384" width="9.140625" style="269"/>
  </cols>
  <sheetData>
    <row r="1" spans="1:31" ht="18.75" thickBot="1">
      <c r="A1" s="249"/>
      <c r="B1" s="250"/>
      <c r="C1" s="251" t="s">
        <v>219</v>
      </c>
      <c r="D1" s="250"/>
      <c r="E1" s="250"/>
      <c r="F1" s="468"/>
      <c r="G1" s="468"/>
      <c r="H1" s="468"/>
      <c r="I1" s="468"/>
      <c r="J1" s="468"/>
      <c r="K1" s="468"/>
      <c r="L1" s="250"/>
      <c r="M1" s="250"/>
      <c r="N1" s="250"/>
      <c r="O1" s="250"/>
      <c r="P1" s="250"/>
      <c r="Q1" s="250"/>
      <c r="R1" s="250"/>
      <c r="S1" s="250"/>
      <c r="T1" s="250"/>
      <c r="U1" s="250"/>
      <c r="V1" s="250"/>
      <c r="W1" s="250"/>
      <c r="X1" s="250"/>
      <c r="Y1" s="250"/>
      <c r="Z1" s="250"/>
      <c r="AA1" s="250"/>
      <c r="AB1" s="250"/>
      <c r="AC1" s="250"/>
      <c r="AD1" s="250"/>
      <c r="AE1" s="250"/>
    </row>
    <row r="2" spans="1:31" ht="18.75" customHeight="1" thickTop="1">
      <c r="A2" s="252"/>
      <c r="B2" s="469"/>
      <c r="C2" s="469"/>
      <c r="D2" s="469"/>
      <c r="E2" s="470"/>
      <c r="F2" s="471"/>
      <c r="G2" s="492" t="s">
        <v>235</v>
      </c>
      <c r="H2" s="492"/>
      <c r="I2" s="492"/>
      <c r="J2" s="492"/>
      <c r="K2" s="492"/>
      <c r="L2" s="492"/>
      <c r="M2" s="472"/>
      <c r="N2" s="472"/>
      <c r="O2" s="472"/>
      <c r="P2" s="472"/>
      <c r="Q2" s="472"/>
      <c r="R2" s="472"/>
      <c r="S2" s="472"/>
      <c r="T2" s="472"/>
      <c r="U2" s="472"/>
      <c r="V2" s="472"/>
      <c r="W2" s="472"/>
      <c r="X2" s="472"/>
      <c r="Y2" s="472"/>
      <c r="Z2" s="472"/>
      <c r="AA2" s="472"/>
      <c r="AB2" s="472"/>
      <c r="AC2" s="472"/>
      <c r="AD2" s="472"/>
      <c r="AE2" s="472"/>
    </row>
    <row r="3" spans="1:31" ht="12.75" customHeight="1">
      <c r="A3" s="252"/>
      <c r="B3" s="473"/>
      <c r="C3" s="363"/>
      <c r="D3" s="472"/>
      <c r="E3" s="474"/>
      <c r="F3" s="471"/>
      <c r="G3" s="492"/>
      <c r="H3" s="492"/>
      <c r="I3" s="492"/>
      <c r="J3" s="492"/>
      <c r="K3" s="492"/>
      <c r="L3" s="492"/>
      <c r="M3" s="472"/>
      <c r="N3" s="472"/>
      <c r="O3" s="472"/>
      <c r="P3" s="472"/>
      <c r="Q3" s="472"/>
      <c r="R3" s="472"/>
      <c r="S3" s="472"/>
      <c r="T3" s="472"/>
      <c r="U3" s="472"/>
      <c r="V3" s="472"/>
      <c r="W3" s="472"/>
      <c r="X3" s="472"/>
      <c r="Y3" s="472"/>
      <c r="Z3" s="472"/>
      <c r="AA3" s="472"/>
      <c r="AB3" s="472"/>
      <c r="AC3" s="472"/>
      <c r="AD3" s="472"/>
      <c r="AE3" s="472"/>
    </row>
    <row r="4" spans="1:31" ht="12.75" customHeight="1">
      <c r="A4" s="252"/>
      <c r="B4" s="473"/>
      <c r="C4" s="363"/>
      <c r="D4" s="472"/>
      <c r="E4" s="474"/>
      <c r="F4" s="471"/>
      <c r="G4" s="492"/>
      <c r="H4" s="492"/>
      <c r="I4" s="492"/>
      <c r="J4" s="492"/>
      <c r="K4" s="492"/>
      <c r="L4" s="492"/>
      <c r="M4" s="472"/>
      <c r="N4" s="472"/>
      <c r="O4" s="472"/>
      <c r="P4" s="472"/>
      <c r="Q4" s="472"/>
      <c r="R4" s="472"/>
      <c r="S4" s="472"/>
      <c r="T4" s="472"/>
      <c r="U4" s="472"/>
      <c r="V4" s="472"/>
      <c r="W4" s="472"/>
      <c r="X4" s="472"/>
      <c r="Y4" s="472"/>
      <c r="Z4" s="472"/>
      <c r="AA4" s="472"/>
      <c r="AB4" s="472"/>
      <c r="AC4" s="472"/>
      <c r="AD4" s="472"/>
      <c r="AE4" s="472"/>
    </row>
    <row r="5" spans="1:31" ht="12.75" customHeight="1">
      <c r="A5" s="252"/>
      <c r="B5" s="473"/>
      <c r="C5" s="363"/>
      <c r="D5" s="472"/>
      <c r="E5" s="474"/>
      <c r="F5" s="471"/>
      <c r="G5" s="492"/>
      <c r="H5" s="492"/>
      <c r="I5" s="492"/>
      <c r="J5" s="492"/>
      <c r="K5" s="492"/>
      <c r="L5" s="492"/>
      <c r="M5" s="472"/>
      <c r="N5" s="472"/>
      <c r="O5" s="472"/>
      <c r="P5" s="472"/>
      <c r="Q5" s="472"/>
      <c r="R5" s="472"/>
      <c r="S5" s="472"/>
      <c r="T5" s="472"/>
      <c r="U5" s="472"/>
      <c r="V5" s="472"/>
      <c r="W5" s="472"/>
      <c r="X5" s="472"/>
      <c r="Y5" s="472"/>
      <c r="Z5" s="472"/>
      <c r="AA5" s="472"/>
      <c r="AB5" s="472"/>
      <c r="AC5" s="472"/>
      <c r="AD5" s="472"/>
      <c r="AE5" s="472"/>
    </row>
    <row r="6" spans="1:31" ht="12.75" customHeight="1">
      <c r="A6" s="272"/>
      <c r="B6" s="472"/>
      <c r="C6" s="363"/>
      <c r="D6" s="472"/>
      <c r="E6" s="474"/>
      <c r="F6" s="471"/>
      <c r="G6" s="492"/>
      <c r="H6" s="492"/>
      <c r="I6" s="492"/>
      <c r="J6" s="492"/>
      <c r="K6" s="492"/>
      <c r="L6" s="492"/>
      <c r="M6" s="472"/>
      <c r="N6" s="472"/>
      <c r="O6" s="472"/>
      <c r="P6" s="472"/>
      <c r="Q6" s="472"/>
      <c r="R6" s="472"/>
      <c r="S6" s="472"/>
      <c r="T6" s="472"/>
      <c r="U6" s="472"/>
      <c r="V6" s="472"/>
      <c r="W6" s="472"/>
      <c r="X6" s="472"/>
      <c r="Y6" s="472"/>
      <c r="Z6" s="472"/>
      <c r="AA6" s="472"/>
      <c r="AB6" s="472"/>
      <c r="AC6" s="472"/>
      <c r="AD6" s="472"/>
      <c r="AE6" s="472"/>
    </row>
    <row r="7" spans="1:31" ht="12.75" customHeight="1">
      <c r="A7" s="272"/>
      <c r="B7" s="472"/>
      <c r="C7" s="363"/>
      <c r="D7" s="472"/>
      <c r="E7" s="474"/>
      <c r="F7" s="471"/>
      <c r="G7" s="492"/>
      <c r="H7" s="492"/>
      <c r="I7" s="492"/>
      <c r="J7" s="492"/>
      <c r="K7" s="492"/>
      <c r="L7" s="492"/>
      <c r="M7" s="472"/>
      <c r="N7" s="472"/>
      <c r="O7" s="472"/>
      <c r="P7" s="472"/>
      <c r="Q7" s="472"/>
      <c r="R7" s="472"/>
      <c r="S7" s="472"/>
      <c r="T7" s="472"/>
      <c r="U7" s="472"/>
      <c r="V7" s="472"/>
      <c r="W7" s="472"/>
      <c r="X7" s="472"/>
      <c r="Y7" s="472"/>
      <c r="Z7" s="472"/>
      <c r="AA7" s="472"/>
      <c r="AB7" s="472"/>
      <c r="AC7" s="472"/>
      <c r="AD7" s="472"/>
      <c r="AE7" s="472"/>
    </row>
    <row r="8" spans="1:31" ht="12.75" customHeight="1">
      <c r="A8" s="272"/>
      <c r="B8" s="472"/>
      <c r="C8" s="363"/>
      <c r="D8" s="472"/>
      <c r="E8" s="474"/>
      <c r="F8" s="471"/>
      <c r="G8" s="492"/>
      <c r="H8" s="492"/>
      <c r="I8" s="492"/>
      <c r="J8" s="492"/>
      <c r="K8" s="492"/>
      <c r="L8" s="492"/>
      <c r="M8" s="472"/>
      <c r="N8" s="472"/>
      <c r="O8" s="472"/>
      <c r="P8" s="472"/>
      <c r="Q8" s="472"/>
      <c r="R8" s="472"/>
      <c r="S8" s="472"/>
      <c r="T8" s="472"/>
      <c r="U8" s="472"/>
      <c r="V8" s="472"/>
      <c r="W8" s="472"/>
      <c r="X8" s="472"/>
      <c r="Y8" s="472"/>
      <c r="Z8" s="472"/>
      <c r="AA8" s="472"/>
      <c r="AB8" s="472"/>
      <c r="AC8" s="472"/>
      <c r="AD8" s="472"/>
      <c r="AE8" s="472"/>
    </row>
    <row r="9" spans="1:31" ht="12.75" customHeight="1">
      <c r="A9" s="272"/>
      <c r="B9" s="472"/>
      <c r="C9" s="472"/>
      <c r="D9" s="472"/>
      <c r="E9" s="472"/>
      <c r="F9" s="471"/>
      <c r="G9" s="492"/>
      <c r="H9" s="492"/>
      <c r="I9" s="492"/>
      <c r="J9" s="492"/>
      <c r="K9" s="492"/>
      <c r="L9" s="492"/>
      <c r="M9" s="472"/>
      <c r="N9" s="472"/>
      <c r="O9" s="472"/>
      <c r="P9" s="472"/>
      <c r="Q9" s="472"/>
      <c r="R9" s="472"/>
      <c r="S9" s="472"/>
      <c r="T9" s="472"/>
      <c r="U9" s="472"/>
      <c r="V9" s="472"/>
      <c r="W9" s="472"/>
      <c r="X9" s="472"/>
      <c r="Y9" s="472"/>
      <c r="Z9" s="472"/>
      <c r="AA9" s="472"/>
      <c r="AB9" s="472"/>
      <c r="AC9" s="472"/>
      <c r="AD9" s="472"/>
      <c r="AE9" s="472"/>
    </row>
    <row r="10" spans="1:31" ht="27" customHeight="1">
      <c r="A10" s="272"/>
      <c r="B10" s="472"/>
      <c r="C10" s="472"/>
      <c r="D10" s="472"/>
      <c r="E10" s="472"/>
      <c r="F10" s="471"/>
      <c r="G10" s="471"/>
      <c r="H10" s="471"/>
      <c r="I10" s="471"/>
      <c r="J10" s="471"/>
      <c r="K10" s="471"/>
      <c r="L10" s="472"/>
      <c r="M10" s="472"/>
      <c r="N10" s="472"/>
      <c r="O10" s="472"/>
      <c r="P10" s="472"/>
      <c r="Q10" s="472"/>
      <c r="R10" s="472"/>
      <c r="S10" s="472"/>
      <c r="T10" s="472"/>
      <c r="U10" s="472"/>
      <c r="V10" s="472"/>
      <c r="W10" s="472"/>
      <c r="X10" s="472"/>
      <c r="Y10" s="472"/>
      <c r="Z10" s="472"/>
      <c r="AA10" s="472"/>
      <c r="AB10" s="472"/>
      <c r="AC10" s="472"/>
      <c r="AD10" s="472"/>
      <c r="AE10" s="472"/>
    </row>
    <row r="11" spans="1:31" ht="15.75" customHeight="1">
      <c r="A11" s="272"/>
      <c r="B11" s="472"/>
      <c r="C11" s="496" t="s">
        <v>233</v>
      </c>
      <c r="D11" s="496"/>
      <c r="E11" s="472"/>
      <c r="F11" s="472"/>
      <c r="G11" s="472"/>
      <c r="H11" s="472"/>
      <c r="I11" s="472"/>
      <c r="J11" s="472"/>
      <c r="K11" s="498" t="s">
        <v>231</v>
      </c>
      <c r="L11" s="498"/>
      <c r="M11" s="498"/>
      <c r="N11" s="498"/>
      <c r="O11" s="472"/>
      <c r="P11" s="472"/>
      <c r="Q11" s="472"/>
      <c r="R11" s="472"/>
      <c r="S11" s="472"/>
      <c r="T11" s="472"/>
      <c r="U11" s="472"/>
      <c r="V11" s="472"/>
      <c r="W11" s="472"/>
      <c r="X11" s="472"/>
      <c r="Y11" s="472"/>
      <c r="Z11" s="472"/>
      <c r="AA11" s="472"/>
      <c r="AB11" s="472"/>
      <c r="AC11" s="472"/>
      <c r="AD11" s="472"/>
      <c r="AE11" s="472"/>
    </row>
    <row r="12" spans="1:31" ht="7.5" customHeight="1">
      <c r="A12" s="272"/>
      <c r="B12" s="472"/>
      <c r="C12" s="363"/>
      <c r="D12" s="472"/>
      <c r="E12" s="472"/>
      <c r="F12" s="472"/>
      <c r="G12" s="472"/>
      <c r="H12" s="472"/>
      <c r="I12" s="472"/>
      <c r="J12" s="472"/>
      <c r="K12" s="498"/>
      <c r="L12" s="498"/>
      <c r="M12" s="498"/>
      <c r="N12" s="498"/>
      <c r="O12" s="472"/>
      <c r="P12" s="472"/>
      <c r="Q12" s="472"/>
      <c r="R12" s="472"/>
      <c r="S12" s="472"/>
      <c r="T12" s="472"/>
      <c r="U12" s="472"/>
      <c r="V12" s="472"/>
      <c r="W12" s="472"/>
      <c r="X12" s="472"/>
      <c r="Y12" s="472"/>
      <c r="Z12" s="472"/>
      <c r="AA12" s="472"/>
      <c r="AB12" s="472"/>
      <c r="AC12" s="472"/>
      <c r="AD12" s="472"/>
      <c r="AE12" s="472"/>
    </row>
    <row r="13" spans="1:31" ht="7.5" customHeight="1">
      <c r="A13" s="272"/>
      <c r="B13" s="472"/>
      <c r="C13" s="363"/>
      <c r="D13" s="472"/>
      <c r="E13" s="472"/>
      <c r="F13" s="472"/>
      <c r="G13" s="472"/>
      <c r="H13" s="472"/>
      <c r="I13" s="472"/>
      <c r="J13" s="472"/>
      <c r="K13" s="498"/>
      <c r="L13" s="498"/>
      <c r="M13" s="498"/>
      <c r="N13" s="498"/>
      <c r="O13" s="472"/>
      <c r="P13" s="472"/>
      <c r="Q13" s="472"/>
      <c r="R13" s="472"/>
      <c r="S13" s="472"/>
      <c r="T13" s="472"/>
      <c r="U13" s="472"/>
      <c r="V13" s="472"/>
      <c r="W13" s="472"/>
      <c r="X13" s="472"/>
      <c r="Y13" s="472"/>
      <c r="Z13" s="472"/>
      <c r="AA13" s="472"/>
      <c r="AB13" s="472"/>
      <c r="AC13" s="472"/>
      <c r="AD13" s="472"/>
      <c r="AE13" s="472"/>
    </row>
    <row r="14" spans="1:31" ht="12.75" customHeight="1" thickBot="1">
      <c r="A14" s="272"/>
      <c r="B14" s="472"/>
      <c r="C14" s="497" t="s">
        <v>234</v>
      </c>
      <c r="D14" s="497"/>
      <c r="E14" s="497"/>
      <c r="F14" s="497"/>
      <c r="G14" s="497"/>
      <c r="H14" s="497"/>
      <c r="I14" s="472"/>
      <c r="J14" s="472"/>
      <c r="K14" s="475"/>
      <c r="L14" s="475"/>
      <c r="M14" s="475"/>
      <c r="N14" s="475"/>
      <c r="O14" s="472"/>
      <c r="P14" s="472"/>
      <c r="Q14" s="472"/>
      <c r="R14" s="472"/>
      <c r="S14" s="472"/>
      <c r="T14" s="472"/>
      <c r="U14" s="472"/>
      <c r="V14" s="472"/>
      <c r="W14" s="472"/>
      <c r="X14" s="472"/>
      <c r="Y14" s="472"/>
      <c r="Z14" s="472"/>
      <c r="AA14" s="472"/>
      <c r="AB14" s="472"/>
      <c r="AC14" s="472"/>
      <c r="AD14" s="472"/>
      <c r="AE14" s="472"/>
    </row>
    <row r="15" spans="1:31">
      <c r="A15" s="272"/>
      <c r="B15" s="472"/>
      <c r="C15" s="497"/>
      <c r="D15" s="497"/>
      <c r="E15" s="497"/>
      <c r="F15" s="497"/>
      <c r="G15" s="497"/>
      <c r="H15" s="497"/>
      <c r="I15" s="472"/>
      <c r="J15" s="472"/>
      <c r="K15" s="476"/>
      <c r="L15" s="501" t="s">
        <v>34</v>
      </c>
      <c r="M15" s="502"/>
      <c r="N15" s="472"/>
      <c r="O15" s="472"/>
      <c r="P15" s="472"/>
      <c r="Q15" s="472"/>
      <c r="R15" s="472"/>
      <c r="S15" s="472"/>
      <c r="T15" s="472"/>
      <c r="U15" s="472"/>
      <c r="V15" s="472"/>
      <c r="W15" s="472"/>
      <c r="X15" s="472"/>
      <c r="Y15" s="472"/>
      <c r="Z15" s="472"/>
      <c r="AA15" s="472"/>
      <c r="AB15" s="472"/>
      <c r="AC15" s="472"/>
      <c r="AD15" s="472"/>
      <c r="AE15" s="472"/>
    </row>
    <row r="16" spans="1:31">
      <c r="A16" s="272"/>
      <c r="B16" s="472"/>
      <c r="C16" s="497"/>
      <c r="D16" s="497"/>
      <c r="E16" s="497"/>
      <c r="F16" s="497"/>
      <c r="G16" s="497"/>
      <c r="H16" s="497"/>
      <c r="I16" s="472"/>
      <c r="J16" s="472"/>
      <c r="K16" s="477" t="s">
        <v>227</v>
      </c>
      <c r="L16" s="478" t="s">
        <v>0</v>
      </c>
      <c r="M16" s="479" t="s">
        <v>1</v>
      </c>
      <c r="N16" s="472"/>
      <c r="O16" s="472"/>
      <c r="P16" s="472"/>
      <c r="Q16" s="472"/>
      <c r="R16" s="472"/>
      <c r="S16" s="472"/>
      <c r="T16" s="472"/>
      <c r="U16" s="472"/>
      <c r="V16" s="472"/>
      <c r="W16" s="472"/>
      <c r="X16" s="472"/>
      <c r="Y16" s="472"/>
      <c r="Z16" s="472"/>
      <c r="AA16" s="472"/>
      <c r="AB16" s="472"/>
      <c r="AC16" s="472"/>
      <c r="AD16" s="472"/>
      <c r="AE16" s="472"/>
    </row>
    <row r="17" spans="1:31" ht="12.75" customHeight="1" thickBot="1">
      <c r="A17" s="272"/>
      <c r="B17" s="472"/>
      <c r="C17" s="472"/>
      <c r="D17" s="472"/>
      <c r="E17" s="472"/>
      <c r="F17" s="472"/>
      <c r="G17" s="472"/>
      <c r="H17" s="472"/>
      <c r="I17" s="472"/>
      <c r="J17" s="472"/>
      <c r="K17" s="485">
        <v>2019</v>
      </c>
      <c r="L17" s="486">
        <v>4</v>
      </c>
      <c r="M17" s="487">
        <v>9.5399999999999991</v>
      </c>
      <c r="N17" s="472"/>
      <c r="O17" s="472"/>
      <c r="P17" s="472"/>
      <c r="Q17" s="472"/>
      <c r="R17" s="472"/>
      <c r="S17" s="472"/>
      <c r="T17" s="472"/>
      <c r="U17" s="472"/>
      <c r="V17" s="472"/>
      <c r="W17" s="472"/>
      <c r="X17" s="472"/>
      <c r="Y17" s="472"/>
      <c r="Z17" s="472"/>
      <c r="AA17" s="472"/>
      <c r="AB17" s="472"/>
      <c r="AC17" s="472"/>
      <c r="AD17" s="472"/>
      <c r="AE17" s="472"/>
    </row>
    <row r="18" spans="1:31">
      <c r="A18" s="272"/>
      <c r="B18" s="472"/>
      <c r="C18" s="19" t="s">
        <v>223</v>
      </c>
      <c r="D18" s="472"/>
      <c r="E18" s="472"/>
      <c r="F18" s="472"/>
      <c r="G18" s="472"/>
      <c r="H18" s="472"/>
      <c r="I18" s="472"/>
      <c r="J18" s="472"/>
      <c r="K18" s="494" t="s">
        <v>232</v>
      </c>
      <c r="L18" s="494"/>
      <c r="M18" s="494"/>
      <c r="N18" s="472"/>
      <c r="O18" s="472"/>
      <c r="P18" s="472"/>
      <c r="Q18" s="472"/>
      <c r="R18" s="472"/>
      <c r="S18" s="472"/>
      <c r="T18" s="472"/>
      <c r="U18" s="472"/>
      <c r="V18" s="472"/>
      <c r="W18" s="472"/>
      <c r="X18" s="472"/>
      <c r="Y18" s="472"/>
      <c r="Z18" s="472"/>
      <c r="AA18" s="472"/>
      <c r="AB18" s="472"/>
      <c r="AC18" s="472"/>
      <c r="AD18" s="472"/>
      <c r="AE18" s="472"/>
    </row>
    <row r="19" spans="1:31" ht="12.75" customHeight="1">
      <c r="A19" s="272"/>
      <c r="B19" s="472"/>
      <c r="C19" s="472"/>
      <c r="D19" s="472"/>
      <c r="E19" s="472"/>
      <c r="F19" s="472"/>
      <c r="G19" s="472"/>
      <c r="H19" s="472"/>
      <c r="I19" s="472"/>
      <c r="J19" s="472"/>
      <c r="K19" s="495"/>
      <c r="L19" s="495"/>
      <c r="M19" s="495"/>
      <c r="N19" s="472"/>
      <c r="O19" s="472"/>
      <c r="P19" s="472"/>
      <c r="Q19" s="472"/>
      <c r="R19" s="480"/>
      <c r="S19" s="472"/>
      <c r="T19" s="472"/>
      <c r="U19" s="472"/>
      <c r="V19" s="472"/>
      <c r="W19" s="472"/>
      <c r="X19" s="472"/>
      <c r="Y19" s="472"/>
      <c r="Z19" s="472"/>
      <c r="AA19" s="472"/>
      <c r="AB19" s="472"/>
      <c r="AC19" s="472"/>
      <c r="AD19" s="472"/>
      <c r="AE19" s="472"/>
    </row>
    <row r="20" spans="1:31">
      <c r="A20" s="272"/>
      <c r="B20" s="472"/>
      <c r="C20" s="498" t="s">
        <v>224</v>
      </c>
      <c r="D20" s="498"/>
      <c r="E20" s="498"/>
      <c r="F20" s="498"/>
      <c r="G20" s="498"/>
      <c r="H20" s="498"/>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row>
    <row r="21" spans="1:31" ht="12.75" customHeight="1">
      <c r="A21" s="272"/>
      <c r="B21" s="472"/>
      <c r="C21" s="498"/>
      <c r="D21" s="498"/>
      <c r="E21" s="498"/>
      <c r="F21" s="498"/>
      <c r="G21" s="498"/>
      <c r="H21" s="498"/>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row>
    <row r="22" spans="1:31">
      <c r="A22" s="272"/>
      <c r="B22" s="472"/>
      <c r="C22" s="498"/>
      <c r="D22" s="498"/>
      <c r="E22" s="498"/>
      <c r="F22" s="498"/>
      <c r="G22" s="498"/>
      <c r="H22" s="498"/>
      <c r="I22" s="472"/>
      <c r="J22" s="472"/>
      <c r="K22" s="472"/>
      <c r="L22" s="472"/>
      <c r="M22" s="472"/>
      <c r="N22" s="472"/>
      <c r="O22" s="472"/>
      <c r="P22" s="472"/>
      <c r="Q22" s="472"/>
      <c r="R22" s="472"/>
      <c r="S22" s="472"/>
      <c r="T22" s="472"/>
      <c r="U22" s="472"/>
      <c r="V22" s="472"/>
      <c r="W22" s="472"/>
      <c r="X22" s="472"/>
      <c r="Y22" s="472"/>
      <c r="Z22" s="472"/>
      <c r="AA22" s="472"/>
      <c r="AB22" s="472"/>
      <c r="AC22" s="472"/>
      <c r="AD22" s="472"/>
      <c r="AE22" s="472"/>
    </row>
    <row r="23" spans="1:31" ht="11.25" customHeight="1">
      <c r="A23" s="272"/>
      <c r="B23" s="472"/>
      <c r="C23" s="481"/>
      <c r="D23" s="481"/>
      <c r="E23" s="481"/>
      <c r="F23" s="481"/>
      <c r="G23" s="481"/>
      <c r="H23" s="481"/>
      <c r="I23" s="472"/>
      <c r="J23" s="472"/>
      <c r="K23" s="472"/>
      <c r="L23" s="472"/>
      <c r="M23" s="472"/>
      <c r="N23" s="472"/>
      <c r="O23" s="472"/>
      <c r="P23" s="472"/>
      <c r="Q23" s="472"/>
      <c r="R23" s="472"/>
      <c r="S23" s="472"/>
      <c r="T23" s="472"/>
      <c r="U23" s="472"/>
      <c r="V23" s="472"/>
      <c r="W23" s="472"/>
      <c r="X23" s="472"/>
      <c r="Y23" s="472"/>
      <c r="Z23" s="472"/>
      <c r="AA23" s="472"/>
      <c r="AB23" s="472"/>
      <c r="AC23" s="472"/>
      <c r="AD23" s="472"/>
      <c r="AE23" s="472"/>
    </row>
    <row r="24" spans="1:31" ht="15.75" customHeight="1">
      <c r="A24" s="272"/>
      <c r="B24" s="472"/>
      <c r="C24" s="498" t="s">
        <v>225</v>
      </c>
      <c r="D24" s="498"/>
      <c r="E24" s="498"/>
      <c r="F24" s="498"/>
      <c r="G24" s="498"/>
      <c r="H24" s="498"/>
      <c r="I24" s="472"/>
      <c r="J24" s="472"/>
      <c r="K24" s="499" t="s">
        <v>260</v>
      </c>
      <c r="L24" s="499"/>
      <c r="M24" s="499"/>
      <c r="N24" s="499"/>
      <c r="O24" s="499"/>
      <c r="P24" s="499"/>
      <c r="Q24" s="472"/>
      <c r="R24" s="472"/>
      <c r="S24" s="472"/>
      <c r="T24" s="472"/>
      <c r="U24" s="472"/>
      <c r="V24" s="472"/>
      <c r="W24" s="472"/>
      <c r="X24" s="472"/>
      <c r="Y24" s="472"/>
      <c r="Z24" s="472"/>
      <c r="AA24" s="472"/>
      <c r="AB24" s="472"/>
      <c r="AC24" s="472"/>
      <c r="AD24" s="472"/>
      <c r="AE24" s="472"/>
    </row>
    <row r="25" spans="1:31" ht="15" customHeight="1">
      <c r="A25" s="272"/>
      <c r="B25" s="472"/>
      <c r="C25" s="498"/>
      <c r="D25" s="498"/>
      <c r="E25" s="498"/>
      <c r="F25" s="498"/>
      <c r="G25" s="498"/>
      <c r="H25" s="498"/>
      <c r="I25" s="472"/>
      <c r="J25" s="472"/>
      <c r="K25" s="472"/>
      <c r="L25" s="472"/>
      <c r="M25" s="472"/>
      <c r="N25" s="472"/>
      <c r="O25" s="472"/>
      <c r="P25" s="472"/>
      <c r="Q25" s="472"/>
      <c r="R25" s="472"/>
      <c r="S25" s="472"/>
      <c r="T25" s="472"/>
      <c r="U25" s="472"/>
      <c r="V25" s="472"/>
      <c r="W25" s="472"/>
      <c r="X25" s="472"/>
      <c r="Y25" s="472"/>
      <c r="Z25" s="472"/>
      <c r="AA25" s="472"/>
      <c r="AB25" s="472"/>
      <c r="AC25" s="472"/>
      <c r="AD25" s="472"/>
      <c r="AE25" s="472"/>
    </row>
    <row r="26" spans="1:31">
      <c r="A26" s="272"/>
      <c r="B26" s="472"/>
      <c r="C26" s="498"/>
      <c r="D26" s="498"/>
      <c r="E26" s="498"/>
      <c r="F26" s="498"/>
      <c r="G26" s="498"/>
      <c r="H26" s="498"/>
      <c r="I26" s="472"/>
      <c r="J26" s="472"/>
      <c r="K26" s="500" t="s">
        <v>230</v>
      </c>
      <c r="L26" s="500"/>
      <c r="M26" s="500"/>
      <c r="N26" s="500"/>
      <c r="O26" s="500"/>
      <c r="P26" s="500"/>
      <c r="Q26" s="472"/>
      <c r="R26" s="472"/>
      <c r="S26" s="472"/>
      <c r="T26" s="472"/>
      <c r="U26" s="472"/>
      <c r="V26" s="472"/>
      <c r="W26" s="472"/>
      <c r="X26" s="472"/>
      <c r="Y26" s="472"/>
      <c r="Z26" s="472"/>
      <c r="AA26" s="472"/>
      <c r="AB26" s="472"/>
      <c r="AC26" s="472"/>
      <c r="AD26" s="472"/>
      <c r="AE26" s="472"/>
    </row>
    <row r="27" spans="1:31" ht="12.75" customHeight="1">
      <c r="A27" s="272"/>
      <c r="B27" s="472"/>
      <c r="C27" s="481"/>
      <c r="D27" s="481"/>
      <c r="E27" s="481"/>
      <c r="F27" s="481"/>
      <c r="G27" s="481"/>
      <c r="H27" s="481"/>
      <c r="I27" s="472"/>
      <c r="J27" s="472"/>
      <c r="K27" s="500"/>
      <c r="L27" s="500"/>
      <c r="M27" s="500"/>
      <c r="N27" s="500"/>
      <c r="O27" s="500"/>
      <c r="P27" s="500"/>
      <c r="Q27" s="472"/>
      <c r="R27" s="472"/>
      <c r="S27" s="472"/>
      <c r="T27" s="472"/>
      <c r="U27" s="472"/>
      <c r="V27" s="472"/>
      <c r="W27" s="472"/>
      <c r="X27" s="472"/>
      <c r="Y27" s="472"/>
      <c r="Z27" s="472"/>
      <c r="AA27" s="472"/>
      <c r="AB27" s="472"/>
      <c r="AC27" s="472"/>
      <c r="AD27" s="472"/>
      <c r="AE27" s="472"/>
    </row>
    <row r="28" spans="1:31" ht="9.75" customHeight="1">
      <c r="A28" s="272"/>
      <c r="B28" s="472"/>
      <c r="C28" s="493" t="s">
        <v>226</v>
      </c>
      <c r="D28" s="493"/>
      <c r="E28" s="493"/>
      <c r="F28" s="493"/>
      <c r="G28" s="493"/>
      <c r="H28" s="493"/>
      <c r="I28" s="472"/>
      <c r="J28" s="472"/>
      <c r="K28" s="482"/>
      <c r="L28" s="482"/>
      <c r="M28" s="482"/>
      <c r="N28" s="482"/>
      <c r="O28" s="482"/>
      <c r="P28" s="482"/>
      <c r="Q28" s="472"/>
      <c r="R28" s="472"/>
      <c r="S28" s="472"/>
      <c r="T28" s="472"/>
      <c r="U28" s="472"/>
      <c r="V28" s="472"/>
      <c r="W28" s="472"/>
      <c r="X28" s="472"/>
      <c r="Y28" s="472"/>
      <c r="Z28" s="472"/>
      <c r="AA28" s="472"/>
      <c r="AB28" s="472"/>
      <c r="AC28" s="472"/>
      <c r="AD28" s="472"/>
      <c r="AE28" s="472"/>
    </row>
    <row r="29" spans="1:31">
      <c r="A29" s="272"/>
      <c r="B29" s="472"/>
      <c r="C29" s="493"/>
      <c r="D29" s="493"/>
      <c r="E29" s="493"/>
      <c r="F29" s="493"/>
      <c r="G29" s="493"/>
      <c r="H29" s="493"/>
      <c r="I29" s="472"/>
      <c r="J29" s="472"/>
      <c r="K29" s="500" t="s">
        <v>229</v>
      </c>
      <c r="L29" s="500"/>
      <c r="M29" s="500"/>
      <c r="N29" s="500"/>
      <c r="O29" s="500"/>
      <c r="P29" s="500"/>
      <c r="Q29" s="472"/>
      <c r="R29" s="472"/>
      <c r="S29" s="472"/>
      <c r="T29" s="472"/>
      <c r="U29" s="472"/>
      <c r="V29" s="472"/>
      <c r="W29" s="472"/>
      <c r="X29" s="472"/>
      <c r="Y29" s="472"/>
      <c r="Z29" s="472"/>
      <c r="AA29" s="472"/>
      <c r="AB29" s="472"/>
      <c r="AC29" s="472"/>
      <c r="AD29" s="472"/>
      <c r="AE29" s="472"/>
    </row>
    <row r="30" spans="1:31" ht="12.75" customHeight="1">
      <c r="A30" s="272"/>
      <c r="B30" s="472"/>
      <c r="C30" s="493"/>
      <c r="D30" s="493"/>
      <c r="E30" s="493"/>
      <c r="F30" s="493"/>
      <c r="G30" s="493"/>
      <c r="H30" s="493"/>
      <c r="I30" s="472"/>
      <c r="J30" s="472"/>
      <c r="K30" s="500"/>
      <c r="L30" s="500"/>
      <c r="M30" s="500"/>
      <c r="N30" s="500"/>
      <c r="O30" s="500"/>
      <c r="P30" s="500"/>
      <c r="Q30" s="472"/>
      <c r="R30" s="472"/>
      <c r="S30" s="472"/>
      <c r="T30" s="472"/>
      <c r="U30" s="472"/>
      <c r="V30" s="472"/>
      <c r="W30" s="472"/>
      <c r="X30" s="472"/>
      <c r="Y30" s="472"/>
      <c r="Z30" s="472"/>
      <c r="AA30" s="472"/>
      <c r="AB30" s="472"/>
      <c r="AC30" s="472"/>
      <c r="AD30" s="472"/>
      <c r="AE30" s="472"/>
    </row>
    <row r="31" spans="1:31" ht="9.75" customHeight="1">
      <c r="A31" s="272"/>
      <c r="B31" s="472"/>
      <c r="C31" s="493"/>
      <c r="D31" s="493"/>
      <c r="E31" s="493"/>
      <c r="F31" s="493"/>
      <c r="G31" s="493"/>
      <c r="H31" s="493"/>
      <c r="I31" s="472"/>
      <c r="J31" s="472"/>
      <c r="K31" s="472"/>
      <c r="L31" s="482"/>
      <c r="M31" s="482"/>
      <c r="N31" s="482"/>
      <c r="O31" s="482"/>
      <c r="P31" s="482"/>
      <c r="Q31" s="472"/>
      <c r="R31" s="472"/>
      <c r="S31" s="472"/>
      <c r="T31" s="472"/>
      <c r="U31" s="472"/>
      <c r="V31" s="472"/>
      <c r="W31" s="472"/>
      <c r="X31" s="472"/>
      <c r="Y31" s="472"/>
      <c r="Z31" s="472"/>
      <c r="AA31" s="472"/>
      <c r="AB31" s="472"/>
      <c r="AC31" s="472"/>
      <c r="AD31" s="472"/>
      <c r="AE31" s="472"/>
    </row>
    <row r="32" spans="1:31" ht="12.75" customHeight="1">
      <c r="A32" s="272"/>
      <c r="B32" s="472"/>
      <c r="C32" s="493"/>
      <c r="D32" s="493"/>
      <c r="E32" s="493"/>
      <c r="F32" s="493"/>
      <c r="G32" s="493"/>
      <c r="H32" s="493"/>
      <c r="I32" s="472"/>
      <c r="J32" s="472"/>
      <c r="K32" s="493" t="s">
        <v>237</v>
      </c>
      <c r="L32" s="493"/>
      <c r="M32" s="493"/>
      <c r="N32" s="493"/>
      <c r="O32" s="493"/>
      <c r="P32" s="493"/>
      <c r="Q32" s="472"/>
      <c r="R32" s="472"/>
      <c r="S32" s="472"/>
      <c r="T32" s="472"/>
      <c r="U32" s="472"/>
      <c r="V32" s="472"/>
      <c r="W32" s="472"/>
      <c r="X32" s="472"/>
      <c r="Y32" s="472"/>
      <c r="Z32" s="472"/>
      <c r="AA32" s="472"/>
      <c r="AB32" s="472"/>
      <c r="AC32" s="472"/>
      <c r="AD32" s="472"/>
      <c r="AE32" s="472"/>
    </row>
    <row r="33" spans="1:31">
      <c r="A33" s="272"/>
      <c r="B33" s="472"/>
      <c r="C33" s="475"/>
      <c r="D33" s="475"/>
      <c r="E33" s="475"/>
      <c r="F33" s="475"/>
      <c r="G33" s="475"/>
      <c r="H33" s="475"/>
      <c r="I33" s="472"/>
      <c r="J33" s="472"/>
      <c r="K33" s="493"/>
      <c r="L33" s="493"/>
      <c r="M33" s="493"/>
      <c r="N33" s="493"/>
      <c r="O33" s="493"/>
      <c r="P33" s="493"/>
      <c r="Q33" s="472"/>
      <c r="R33" s="472"/>
      <c r="S33" s="472"/>
      <c r="T33" s="472"/>
      <c r="U33" s="472"/>
      <c r="V33" s="472"/>
      <c r="W33" s="472"/>
      <c r="X33" s="472"/>
      <c r="Y33" s="472"/>
      <c r="Z33" s="472"/>
      <c r="AA33" s="472"/>
      <c r="AB33" s="472"/>
      <c r="AC33" s="472"/>
      <c r="AD33" s="472"/>
      <c r="AE33" s="472"/>
    </row>
    <row r="34" spans="1:31">
      <c r="A34" s="272"/>
      <c r="B34" s="472"/>
      <c r="C34" s="475"/>
      <c r="D34" s="475"/>
      <c r="E34" s="475"/>
      <c r="F34" s="475"/>
      <c r="G34" s="475"/>
      <c r="H34" s="475"/>
      <c r="I34" s="472"/>
      <c r="J34" s="472"/>
      <c r="K34" s="493"/>
      <c r="L34" s="493"/>
      <c r="M34" s="493"/>
      <c r="N34" s="493"/>
      <c r="O34" s="493"/>
      <c r="P34" s="493"/>
      <c r="Q34" s="472"/>
      <c r="R34" s="472"/>
      <c r="S34" s="472"/>
      <c r="T34" s="472"/>
      <c r="U34" s="472"/>
      <c r="V34" s="472"/>
      <c r="W34" s="472"/>
      <c r="X34" s="472"/>
      <c r="Y34" s="472"/>
      <c r="Z34" s="472"/>
      <c r="AA34" s="472"/>
      <c r="AB34" s="472"/>
      <c r="AC34" s="472"/>
      <c r="AD34" s="472"/>
      <c r="AE34" s="472"/>
    </row>
    <row r="35" spans="1:31" ht="21" customHeight="1">
      <c r="A35" s="272"/>
      <c r="B35" s="472"/>
      <c r="C35" s="475"/>
      <c r="D35" s="475"/>
      <c r="E35" s="475"/>
      <c r="F35" s="472"/>
      <c r="G35" s="472"/>
      <c r="H35" s="472"/>
      <c r="I35" s="472"/>
      <c r="J35" s="472"/>
      <c r="K35" s="493"/>
      <c r="L35" s="493"/>
      <c r="M35" s="493"/>
      <c r="N35" s="493"/>
      <c r="O35" s="493"/>
      <c r="P35" s="493"/>
      <c r="Q35" s="472"/>
      <c r="R35" s="472"/>
      <c r="S35" s="472"/>
      <c r="T35" s="472"/>
      <c r="U35" s="472"/>
      <c r="V35" s="472"/>
      <c r="W35" s="472"/>
      <c r="X35" s="472"/>
      <c r="Y35" s="472"/>
      <c r="Z35" s="472"/>
      <c r="AA35" s="472"/>
      <c r="AB35" s="472"/>
      <c r="AC35" s="472"/>
      <c r="AD35" s="472"/>
      <c r="AE35" s="472"/>
    </row>
    <row r="36" spans="1:31" ht="12.75" customHeight="1">
      <c r="A36" s="272"/>
      <c r="B36" s="472"/>
      <c r="C36" s="504" t="s">
        <v>228</v>
      </c>
      <c r="D36" s="504"/>
      <c r="E36" s="504"/>
      <c r="F36" s="504"/>
      <c r="G36" s="504"/>
      <c r="H36" s="504"/>
      <c r="I36" s="504"/>
      <c r="J36" s="504"/>
      <c r="K36" s="472"/>
      <c r="L36" s="472"/>
      <c r="M36" s="472"/>
      <c r="N36" s="472"/>
      <c r="O36" s="472"/>
      <c r="P36" s="472"/>
      <c r="Q36" s="472"/>
      <c r="R36" s="472"/>
      <c r="S36" s="472"/>
      <c r="T36" s="472"/>
      <c r="U36" s="472"/>
      <c r="V36" s="472"/>
      <c r="W36" s="472"/>
      <c r="X36" s="472"/>
      <c r="Y36" s="472"/>
      <c r="Z36" s="472"/>
      <c r="AA36" s="472"/>
      <c r="AB36" s="472"/>
      <c r="AC36" s="472"/>
      <c r="AD36" s="472"/>
      <c r="AE36" s="472"/>
    </row>
    <row r="37" spans="1:31">
      <c r="A37" s="272"/>
      <c r="B37" s="472"/>
      <c r="C37" s="504"/>
      <c r="D37" s="504"/>
      <c r="E37" s="504"/>
      <c r="F37" s="504"/>
      <c r="G37" s="504"/>
      <c r="H37" s="504"/>
      <c r="I37" s="504"/>
      <c r="J37" s="504"/>
      <c r="K37" s="472"/>
      <c r="L37" s="472"/>
      <c r="M37" s="472"/>
      <c r="N37" s="472"/>
      <c r="O37" s="472"/>
      <c r="P37" s="472"/>
      <c r="Q37" s="472"/>
      <c r="R37" s="472"/>
      <c r="S37" s="472"/>
      <c r="T37" s="472"/>
      <c r="U37" s="472"/>
      <c r="V37" s="472"/>
      <c r="W37" s="472"/>
      <c r="X37" s="472"/>
      <c r="Y37" s="472"/>
      <c r="Z37" s="472"/>
      <c r="AA37" s="472"/>
      <c r="AB37" s="472"/>
      <c r="AC37" s="472"/>
      <c r="AD37" s="472"/>
      <c r="AE37" s="472"/>
    </row>
    <row r="38" spans="1:31" ht="5.25" customHeight="1">
      <c r="A38" s="272"/>
      <c r="B38" s="472"/>
      <c r="C38" s="483"/>
      <c r="D38" s="483"/>
      <c r="E38" s="483"/>
      <c r="F38" s="483"/>
      <c r="G38" s="483"/>
      <c r="H38" s="483"/>
      <c r="I38" s="483"/>
      <c r="J38" s="364"/>
      <c r="K38" s="472"/>
      <c r="L38" s="472"/>
      <c r="M38" s="472"/>
      <c r="N38" s="472"/>
      <c r="O38" s="472"/>
      <c r="P38" s="472"/>
      <c r="Q38" s="472"/>
      <c r="R38" s="472"/>
      <c r="S38" s="472"/>
      <c r="T38" s="472"/>
      <c r="U38" s="472"/>
      <c r="V38" s="472"/>
      <c r="W38" s="472"/>
      <c r="X38" s="472"/>
      <c r="Y38" s="472"/>
      <c r="Z38" s="472"/>
      <c r="AA38" s="472"/>
      <c r="AB38" s="472"/>
      <c r="AC38" s="472"/>
      <c r="AD38" s="472"/>
      <c r="AE38" s="472"/>
    </row>
    <row r="39" spans="1:31" ht="12.75" customHeight="1">
      <c r="A39" s="272"/>
      <c r="B39" s="472"/>
      <c r="C39" s="505" t="s">
        <v>236</v>
      </c>
      <c r="D39" s="505"/>
      <c r="E39" s="505"/>
      <c r="F39" s="505"/>
      <c r="G39" s="505"/>
      <c r="H39" s="505"/>
      <c r="I39" s="505"/>
      <c r="J39" s="505"/>
      <c r="K39" s="472"/>
      <c r="L39" s="503" t="s">
        <v>259</v>
      </c>
      <c r="M39" s="503"/>
      <c r="N39" s="503"/>
      <c r="O39" s="503"/>
      <c r="P39" s="503"/>
      <c r="Q39" s="472"/>
      <c r="R39" s="472"/>
      <c r="S39" s="472"/>
      <c r="T39" s="472"/>
      <c r="U39" s="472"/>
      <c r="V39" s="472"/>
      <c r="W39" s="472"/>
      <c r="X39" s="472"/>
      <c r="Y39" s="472"/>
      <c r="Z39" s="472"/>
      <c r="AA39" s="472"/>
      <c r="AB39" s="472"/>
      <c r="AC39" s="472"/>
      <c r="AD39" s="472"/>
      <c r="AE39" s="472"/>
    </row>
    <row r="40" spans="1:31" ht="12.75" customHeight="1">
      <c r="A40" s="272"/>
      <c r="B40" s="472"/>
      <c r="C40" s="505"/>
      <c r="D40" s="505"/>
      <c r="E40" s="505"/>
      <c r="F40" s="505"/>
      <c r="G40" s="505"/>
      <c r="H40" s="505"/>
      <c r="I40" s="505"/>
      <c r="J40" s="505"/>
      <c r="K40" s="472"/>
      <c r="L40" s="503"/>
      <c r="M40" s="503"/>
      <c r="N40" s="503"/>
      <c r="O40" s="503"/>
      <c r="P40" s="503"/>
      <c r="Q40" s="472"/>
      <c r="R40" s="472"/>
      <c r="S40" s="472"/>
      <c r="T40" s="472"/>
      <c r="U40" s="472"/>
      <c r="V40" s="472"/>
      <c r="W40" s="472"/>
      <c r="X40" s="472"/>
      <c r="Y40" s="472"/>
      <c r="Z40" s="472"/>
      <c r="AA40" s="472"/>
      <c r="AB40" s="472"/>
      <c r="AC40" s="472"/>
      <c r="AD40" s="472"/>
      <c r="AE40" s="472"/>
    </row>
    <row r="41" spans="1:31" ht="12.75" customHeight="1">
      <c r="A41" s="272"/>
      <c r="B41" s="472"/>
      <c r="C41" s="472"/>
      <c r="D41" s="472"/>
      <c r="E41" s="472"/>
      <c r="F41" s="472"/>
      <c r="G41" s="472"/>
      <c r="H41" s="472"/>
      <c r="I41" s="472"/>
      <c r="J41" s="472"/>
      <c r="K41" s="472"/>
      <c r="L41" s="484"/>
      <c r="M41" s="484"/>
      <c r="N41" s="484"/>
      <c r="O41" s="484"/>
      <c r="P41" s="484"/>
      <c r="Q41" s="472"/>
      <c r="R41" s="472"/>
      <c r="S41" s="472"/>
      <c r="T41" s="472"/>
      <c r="U41" s="472"/>
      <c r="V41" s="472"/>
      <c r="W41" s="472"/>
      <c r="X41" s="472"/>
      <c r="Y41" s="472"/>
      <c r="Z41" s="472"/>
      <c r="AA41" s="472"/>
      <c r="AB41" s="472"/>
      <c r="AC41" s="472"/>
      <c r="AD41" s="472"/>
      <c r="AE41" s="472"/>
    </row>
    <row r="42" spans="1:31">
      <c r="A42" s="272"/>
      <c r="B42" s="472"/>
      <c r="C42" s="472"/>
      <c r="D42" s="472"/>
      <c r="E42" s="472"/>
      <c r="F42" s="472"/>
      <c r="G42" s="472"/>
      <c r="H42" s="472"/>
      <c r="I42" s="472"/>
      <c r="J42" s="472"/>
      <c r="K42" s="472"/>
      <c r="L42" s="472"/>
      <c r="M42" s="472"/>
      <c r="N42" s="472"/>
      <c r="O42" s="472"/>
      <c r="P42" s="472"/>
      <c r="Q42" s="472"/>
      <c r="R42" s="472"/>
      <c r="S42" s="472"/>
      <c r="T42" s="472"/>
      <c r="U42" s="472"/>
      <c r="V42" s="472"/>
      <c r="W42" s="472"/>
      <c r="X42" s="472"/>
      <c r="Y42" s="472"/>
      <c r="Z42" s="472"/>
      <c r="AA42" s="472"/>
      <c r="AB42" s="472"/>
      <c r="AC42" s="472"/>
      <c r="AD42" s="472"/>
      <c r="AE42" s="472"/>
    </row>
    <row r="43" spans="1:31">
      <c r="A43" s="272"/>
      <c r="B43" s="472"/>
      <c r="C43" s="472"/>
      <c r="D43" s="472"/>
      <c r="E43" s="472"/>
      <c r="F43" s="472"/>
      <c r="G43" s="472"/>
      <c r="H43" s="472"/>
      <c r="I43" s="472"/>
      <c r="J43" s="472"/>
      <c r="K43" s="472"/>
      <c r="L43" s="472"/>
      <c r="M43" s="472"/>
      <c r="N43" s="472"/>
      <c r="O43" s="472"/>
      <c r="P43" s="472"/>
      <c r="Q43" s="472"/>
      <c r="R43" s="472"/>
      <c r="S43" s="472"/>
      <c r="T43" s="472"/>
      <c r="U43" s="472"/>
      <c r="V43" s="472"/>
      <c r="W43" s="472"/>
      <c r="X43" s="472"/>
      <c r="Y43" s="472"/>
      <c r="Z43" s="472"/>
      <c r="AA43" s="472"/>
      <c r="AB43" s="472"/>
      <c r="AC43" s="472"/>
      <c r="AD43" s="472"/>
      <c r="AE43" s="472"/>
    </row>
    <row r="44" spans="1:31">
      <c r="A44" s="272"/>
      <c r="B44" s="472"/>
      <c r="C44" s="472"/>
      <c r="D44" s="472"/>
      <c r="E44" s="472"/>
      <c r="F44" s="472"/>
      <c r="G44" s="472"/>
      <c r="H44" s="472"/>
      <c r="I44" s="472"/>
      <c r="J44" s="472"/>
      <c r="K44" s="472"/>
      <c r="L44" s="472"/>
      <c r="M44" s="472"/>
      <c r="N44" s="472"/>
      <c r="O44" s="472"/>
      <c r="P44" s="472"/>
      <c r="Q44" s="472"/>
      <c r="R44" s="472"/>
      <c r="S44" s="472"/>
      <c r="T44" s="472"/>
      <c r="U44" s="472"/>
      <c r="V44" s="472"/>
      <c r="W44" s="472"/>
      <c r="X44" s="472"/>
      <c r="Y44" s="472"/>
      <c r="Z44" s="472"/>
      <c r="AA44" s="472"/>
      <c r="AB44" s="472"/>
      <c r="AC44" s="472"/>
      <c r="AD44" s="472"/>
      <c r="AE44" s="472"/>
    </row>
    <row r="45" spans="1:31">
      <c r="A45" s="272"/>
      <c r="B45" s="472"/>
      <c r="C45" s="472"/>
      <c r="D45" s="472"/>
      <c r="E45" s="472"/>
      <c r="F45" s="472"/>
      <c r="G45" s="472"/>
      <c r="H45" s="472"/>
      <c r="I45" s="472"/>
      <c r="J45" s="472"/>
      <c r="K45" s="472"/>
      <c r="L45" s="472"/>
      <c r="M45" s="472"/>
      <c r="N45" s="472"/>
      <c r="O45" s="472"/>
      <c r="P45" s="472"/>
      <c r="Q45" s="472"/>
      <c r="R45" s="472"/>
      <c r="S45" s="472"/>
      <c r="T45" s="472"/>
      <c r="U45" s="472"/>
      <c r="V45" s="472"/>
      <c r="W45" s="472"/>
      <c r="X45" s="472"/>
      <c r="Y45" s="472"/>
      <c r="Z45" s="472"/>
      <c r="AA45" s="472"/>
      <c r="AB45" s="472"/>
      <c r="AC45" s="472"/>
      <c r="AD45" s="472"/>
      <c r="AE45" s="472"/>
    </row>
    <row r="46" spans="1:31">
      <c r="A46" s="272"/>
      <c r="B46" s="472"/>
      <c r="C46" s="472"/>
      <c r="D46" s="472"/>
      <c r="E46" s="472"/>
      <c r="F46" s="472"/>
      <c r="G46" s="472"/>
      <c r="H46" s="472"/>
      <c r="I46" s="472"/>
      <c r="J46" s="472"/>
      <c r="K46" s="472"/>
      <c r="L46" s="472"/>
      <c r="M46" s="472"/>
      <c r="N46" s="472"/>
      <c r="O46" s="472"/>
      <c r="P46" s="472"/>
      <c r="Q46" s="472"/>
      <c r="R46" s="472"/>
      <c r="S46" s="472"/>
      <c r="T46" s="472"/>
      <c r="U46" s="472"/>
      <c r="V46" s="472"/>
      <c r="W46" s="472"/>
      <c r="X46" s="472"/>
      <c r="Y46" s="472"/>
      <c r="Z46" s="472"/>
      <c r="AA46" s="472"/>
      <c r="AB46" s="472"/>
      <c r="AC46" s="472"/>
      <c r="AD46" s="472"/>
      <c r="AE46" s="472"/>
    </row>
    <row r="47" spans="1:31">
      <c r="A47" s="272"/>
      <c r="B47" s="472"/>
      <c r="C47" s="472"/>
      <c r="D47" s="472"/>
      <c r="E47" s="472"/>
      <c r="F47" s="472"/>
      <c r="G47" s="472"/>
      <c r="H47" s="472"/>
      <c r="I47" s="472"/>
      <c r="J47" s="472"/>
      <c r="K47" s="472"/>
      <c r="L47" s="472"/>
      <c r="M47" s="472"/>
      <c r="N47" s="472"/>
      <c r="O47" s="472"/>
      <c r="P47" s="472"/>
      <c r="Q47" s="472"/>
      <c r="R47" s="472"/>
      <c r="S47" s="472"/>
      <c r="T47" s="472"/>
      <c r="U47" s="472"/>
      <c r="V47" s="472"/>
      <c r="W47" s="472"/>
      <c r="X47" s="472"/>
      <c r="Y47" s="472"/>
      <c r="Z47" s="472"/>
      <c r="AA47" s="472"/>
      <c r="AB47" s="472"/>
      <c r="AC47" s="472"/>
      <c r="AD47" s="472"/>
      <c r="AE47" s="472"/>
    </row>
    <row r="48" spans="1:31">
      <c r="A48" s="272"/>
      <c r="B48" s="472"/>
      <c r="C48" s="472"/>
      <c r="D48" s="472"/>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row>
    <row r="49" spans="1:31">
      <c r="A49" s="272"/>
      <c r="B49" s="472"/>
      <c r="C49" s="472"/>
      <c r="D49" s="472"/>
      <c r="E49" s="472"/>
      <c r="F49" s="472"/>
      <c r="G49" s="472"/>
      <c r="H49" s="472"/>
      <c r="I49" s="472"/>
      <c r="J49" s="472"/>
      <c r="K49" s="472"/>
      <c r="L49" s="472"/>
      <c r="M49" s="472"/>
      <c r="N49" s="472"/>
      <c r="O49" s="472"/>
      <c r="P49" s="472"/>
      <c r="Q49" s="472"/>
      <c r="R49" s="472"/>
      <c r="S49" s="472"/>
      <c r="T49" s="472"/>
      <c r="U49" s="472"/>
      <c r="V49" s="472"/>
      <c r="W49" s="472"/>
      <c r="X49" s="472"/>
      <c r="Y49" s="472"/>
      <c r="Z49" s="472"/>
      <c r="AA49" s="472"/>
      <c r="AB49" s="472"/>
      <c r="AC49" s="472"/>
      <c r="AD49" s="472"/>
      <c r="AE49" s="472"/>
    </row>
    <row r="50" spans="1:31">
      <c r="A50" s="272"/>
      <c r="B50" s="472"/>
      <c r="C50" s="472"/>
      <c r="D50" s="472"/>
      <c r="E50" s="472"/>
      <c r="F50" s="472"/>
      <c r="G50" s="472"/>
      <c r="H50" s="472"/>
      <c r="I50" s="472"/>
      <c r="J50" s="472"/>
      <c r="K50" s="472"/>
      <c r="L50" s="472"/>
      <c r="M50" s="472"/>
      <c r="N50" s="472"/>
      <c r="O50" s="472"/>
      <c r="P50" s="472"/>
      <c r="Q50" s="472"/>
      <c r="R50" s="472"/>
      <c r="S50" s="472"/>
      <c r="T50" s="472"/>
      <c r="U50" s="472"/>
      <c r="V50" s="472"/>
      <c r="W50" s="472"/>
      <c r="X50" s="472"/>
      <c r="Y50" s="472"/>
      <c r="Z50" s="472"/>
      <c r="AA50" s="472"/>
      <c r="AB50" s="472"/>
      <c r="AC50" s="472"/>
      <c r="AD50" s="472"/>
      <c r="AE50" s="472"/>
    </row>
    <row r="51" spans="1:31">
      <c r="A51" s="272"/>
      <c r="B51" s="472"/>
      <c r="C51" s="472"/>
      <c r="D51" s="472"/>
      <c r="E51" s="472"/>
      <c r="F51" s="472"/>
      <c r="G51" s="472"/>
      <c r="H51" s="472"/>
      <c r="I51" s="472"/>
      <c r="J51" s="472"/>
      <c r="K51" s="472"/>
      <c r="L51" s="472"/>
      <c r="M51" s="472"/>
      <c r="N51" s="472"/>
      <c r="O51" s="472"/>
      <c r="P51" s="472"/>
      <c r="Q51" s="472"/>
      <c r="R51" s="472"/>
      <c r="S51" s="472"/>
      <c r="T51" s="472"/>
      <c r="U51" s="472"/>
      <c r="V51" s="472"/>
      <c r="W51" s="472"/>
      <c r="X51" s="472"/>
      <c r="Y51" s="472"/>
      <c r="Z51" s="472"/>
      <c r="AA51" s="472"/>
      <c r="AB51" s="472"/>
      <c r="AC51" s="472"/>
      <c r="AD51" s="472"/>
      <c r="AE51" s="472"/>
    </row>
    <row r="52" spans="1:31">
      <c r="A52" s="272"/>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row>
    <row r="53" spans="1:31">
      <c r="A53" s="272"/>
      <c r="B53" s="472"/>
      <c r="C53" s="472"/>
      <c r="D53" s="472"/>
      <c r="E53" s="472"/>
      <c r="F53" s="472"/>
      <c r="G53" s="472"/>
      <c r="H53" s="472"/>
      <c r="I53" s="472"/>
      <c r="J53" s="472"/>
      <c r="K53" s="472"/>
      <c r="L53" s="472"/>
      <c r="M53" s="472"/>
      <c r="N53" s="472"/>
      <c r="O53" s="472"/>
      <c r="P53" s="472"/>
      <c r="Q53" s="472"/>
      <c r="R53" s="472"/>
      <c r="S53" s="472"/>
      <c r="T53" s="472"/>
      <c r="U53" s="472"/>
      <c r="V53" s="472"/>
      <c r="W53" s="472"/>
      <c r="X53" s="472"/>
      <c r="Y53" s="472"/>
      <c r="Z53" s="472"/>
      <c r="AA53" s="472"/>
      <c r="AB53" s="472"/>
      <c r="AC53" s="472"/>
      <c r="AD53" s="472"/>
      <c r="AE53" s="472"/>
    </row>
    <row r="54" spans="1:31">
      <c r="A54" s="272"/>
      <c r="B54" s="472"/>
      <c r="C54" s="472"/>
      <c r="D54" s="472"/>
      <c r="E54" s="472"/>
      <c r="F54" s="472"/>
      <c r="G54" s="472"/>
      <c r="H54" s="472"/>
      <c r="I54" s="472"/>
      <c r="J54" s="472"/>
      <c r="K54" s="472"/>
      <c r="L54" s="472"/>
      <c r="M54" s="472"/>
      <c r="N54" s="472"/>
      <c r="O54" s="472"/>
      <c r="P54" s="472"/>
      <c r="Q54" s="472"/>
      <c r="R54" s="472"/>
      <c r="S54" s="472"/>
      <c r="T54" s="472"/>
      <c r="U54" s="472"/>
      <c r="V54" s="472"/>
      <c r="W54" s="472"/>
      <c r="X54" s="472"/>
      <c r="Y54" s="472"/>
      <c r="Z54" s="472"/>
      <c r="AA54" s="472"/>
      <c r="AB54" s="472"/>
      <c r="AC54" s="472"/>
      <c r="AD54" s="472"/>
      <c r="AE54" s="472"/>
    </row>
    <row r="55" spans="1:31">
      <c r="A55" s="272"/>
      <c r="B55" s="472"/>
      <c r="C55" s="472"/>
      <c r="D55" s="472"/>
      <c r="E55" s="472"/>
      <c r="F55" s="472"/>
      <c r="G55" s="472"/>
      <c r="H55" s="472"/>
      <c r="I55" s="472"/>
      <c r="J55" s="472"/>
      <c r="K55" s="472"/>
      <c r="L55" s="472"/>
      <c r="M55" s="472"/>
      <c r="N55" s="472"/>
      <c r="O55" s="472"/>
      <c r="P55" s="472"/>
      <c r="Q55" s="472"/>
      <c r="R55" s="472"/>
      <c r="S55" s="472"/>
      <c r="T55" s="472"/>
      <c r="U55" s="472"/>
      <c r="V55" s="472"/>
      <c r="W55" s="472"/>
      <c r="X55" s="472"/>
      <c r="Y55" s="472"/>
      <c r="Z55" s="472"/>
      <c r="AA55" s="472"/>
      <c r="AB55" s="472"/>
      <c r="AC55" s="472"/>
      <c r="AD55" s="472"/>
      <c r="AE55" s="472"/>
    </row>
    <row r="56" spans="1:31">
      <c r="A56" s="272"/>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2"/>
      <c r="AC56" s="472"/>
      <c r="AD56" s="472"/>
      <c r="AE56" s="472"/>
    </row>
    <row r="57" spans="1:31">
      <c r="A57" s="272"/>
      <c r="B57" s="472"/>
      <c r="C57" s="472"/>
      <c r="D57" s="472"/>
      <c r="E57" s="472"/>
      <c r="F57" s="472"/>
      <c r="G57" s="472"/>
      <c r="H57" s="472"/>
      <c r="I57" s="472"/>
      <c r="J57" s="472"/>
      <c r="K57" s="472"/>
      <c r="L57" s="472"/>
      <c r="M57" s="472"/>
      <c r="N57" s="472"/>
      <c r="O57" s="472"/>
      <c r="P57" s="472"/>
      <c r="Q57" s="472"/>
      <c r="R57" s="472"/>
      <c r="S57" s="472"/>
      <c r="T57" s="472"/>
      <c r="U57" s="472"/>
      <c r="V57" s="472"/>
      <c r="W57" s="472"/>
      <c r="X57" s="472"/>
      <c r="Y57" s="472"/>
      <c r="Z57" s="472"/>
      <c r="AA57" s="472"/>
      <c r="AB57" s="472"/>
      <c r="AC57" s="472"/>
      <c r="AD57" s="472"/>
      <c r="AE57" s="472"/>
    </row>
    <row r="58" spans="1:31">
      <c r="A58" s="272"/>
      <c r="B58" s="472"/>
      <c r="C58" s="472"/>
      <c r="D58" s="472"/>
      <c r="E58" s="472"/>
      <c r="F58" s="472"/>
      <c r="G58" s="472"/>
      <c r="H58" s="472"/>
      <c r="I58" s="472"/>
      <c r="J58" s="472"/>
      <c r="K58" s="472"/>
      <c r="L58" s="472"/>
      <c r="M58" s="472"/>
      <c r="N58" s="472"/>
      <c r="O58" s="472"/>
      <c r="P58" s="472"/>
      <c r="Q58" s="472"/>
      <c r="R58" s="472"/>
      <c r="S58" s="472"/>
      <c r="T58" s="472"/>
      <c r="U58" s="472"/>
      <c r="V58" s="472"/>
      <c r="W58" s="472"/>
      <c r="X58" s="472"/>
      <c r="Y58" s="472"/>
      <c r="Z58" s="472"/>
      <c r="AA58" s="472"/>
      <c r="AB58" s="472"/>
      <c r="AC58" s="472"/>
      <c r="AD58" s="472"/>
      <c r="AE58" s="472"/>
    </row>
    <row r="59" spans="1:31">
      <c r="A59" s="272"/>
      <c r="B59" s="472"/>
      <c r="C59" s="472"/>
      <c r="D59" s="472"/>
      <c r="E59" s="472"/>
      <c r="F59" s="472"/>
      <c r="G59" s="472"/>
      <c r="H59" s="472"/>
      <c r="I59" s="472"/>
      <c r="J59" s="472"/>
      <c r="K59" s="472"/>
      <c r="L59" s="472"/>
      <c r="M59" s="472"/>
      <c r="N59" s="472"/>
      <c r="O59" s="472"/>
      <c r="P59" s="472"/>
      <c r="Q59" s="472"/>
      <c r="R59" s="472"/>
      <c r="S59" s="472"/>
      <c r="T59" s="472"/>
      <c r="U59" s="472"/>
      <c r="V59" s="472"/>
      <c r="W59" s="472"/>
      <c r="X59" s="472"/>
      <c r="Y59" s="472"/>
      <c r="Z59" s="472"/>
      <c r="AA59" s="472"/>
      <c r="AB59" s="472"/>
      <c r="AC59" s="472"/>
      <c r="AD59" s="472"/>
      <c r="AE59" s="472"/>
    </row>
    <row r="60" spans="1:31">
      <c r="A60" s="272"/>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c r="AE60" s="472"/>
    </row>
    <row r="61" spans="1:31">
      <c r="A61" s="272"/>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c r="AE61" s="472"/>
    </row>
    <row r="62" spans="1:31">
      <c r="A62" s="272"/>
      <c r="B62" s="472"/>
      <c r="C62" s="472"/>
      <c r="D62" s="472"/>
      <c r="E62" s="472"/>
      <c r="F62" s="472"/>
      <c r="G62" s="472"/>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row>
    <row r="63" spans="1:31">
      <c r="A63" s="272"/>
      <c r="B63" s="472"/>
      <c r="C63" s="472"/>
      <c r="D63" s="472"/>
      <c r="E63" s="472"/>
      <c r="F63" s="472"/>
      <c r="G63" s="472"/>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row>
    <row r="64" spans="1:31" ht="15">
      <c r="A64" s="272"/>
      <c r="B64" s="472"/>
      <c r="C64" s="455" t="s">
        <v>208</v>
      </c>
      <c r="D64" s="400"/>
      <c r="E64" s="472"/>
      <c r="F64" s="472"/>
      <c r="G64" s="472"/>
      <c r="H64" s="472"/>
      <c r="I64" s="472"/>
      <c r="J64" s="472"/>
      <c r="K64" s="472"/>
      <c r="L64" s="472"/>
      <c r="M64" s="472"/>
      <c r="N64" s="472"/>
      <c r="O64" s="472"/>
      <c r="P64" s="472"/>
      <c r="Q64" s="472"/>
      <c r="R64" s="472"/>
      <c r="S64" s="472"/>
      <c r="T64" s="472"/>
      <c r="U64" s="472"/>
      <c r="V64" s="472"/>
      <c r="W64" s="472"/>
      <c r="X64" s="472"/>
      <c r="Y64" s="472"/>
      <c r="Z64" s="472"/>
      <c r="AA64" s="472"/>
      <c r="AB64" s="472"/>
      <c r="AC64" s="472"/>
      <c r="AD64" s="472"/>
      <c r="AE64" s="472"/>
    </row>
    <row r="65" spans="1:31" ht="14.25">
      <c r="A65" s="272"/>
      <c r="B65" s="472"/>
      <c r="C65" s="280" t="s">
        <v>159</v>
      </c>
      <c r="D65" s="280"/>
      <c r="E65" s="472"/>
      <c r="F65" s="472"/>
      <c r="G65" s="472"/>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row>
    <row r="66" spans="1:31" ht="14.25">
      <c r="A66" s="272"/>
      <c r="B66" s="472"/>
      <c r="C66" s="280" t="s">
        <v>160</v>
      </c>
      <c r="D66" s="280"/>
      <c r="E66" s="472"/>
      <c r="F66" s="472"/>
      <c r="G66" s="472"/>
      <c r="H66" s="472"/>
      <c r="I66" s="472"/>
      <c r="J66" s="472"/>
      <c r="K66" s="472"/>
      <c r="L66" s="472"/>
      <c r="M66" s="472"/>
      <c r="N66" s="472"/>
      <c r="O66" s="472"/>
      <c r="P66" s="472"/>
      <c r="Q66" s="472"/>
      <c r="R66" s="472"/>
      <c r="S66" s="472"/>
      <c r="T66" s="472"/>
      <c r="U66" s="472"/>
      <c r="V66" s="472"/>
      <c r="W66" s="472"/>
      <c r="X66" s="472"/>
      <c r="Y66" s="472"/>
      <c r="Z66" s="472"/>
      <c r="AA66" s="472"/>
      <c r="AB66" s="472"/>
      <c r="AC66" s="472"/>
      <c r="AD66" s="472"/>
      <c r="AE66" s="472"/>
    </row>
    <row r="67" spans="1:31" ht="14.25">
      <c r="A67" s="272"/>
      <c r="B67" s="472"/>
      <c r="C67" s="280" t="s">
        <v>161</v>
      </c>
      <c r="D67" s="280"/>
      <c r="E67" s="472"/>
      <c r="F67" s="472"/>
      <c r="G67" s="472"/>
      <c r="H67" s="472"/>
      <c r="I67" s="472"/>
      <c r="J67" s="472"/>
      <c r="K67" s="472"/>
      <c r="L67" s="472"/>
      <c r="M67" s="472"/>
      <c r="N67" s="472"/>
      <c r="O67" s="472"/>
      <c r="P67" s="472"/>
      <c r="Q67" s="472"/>
      <c r="R67" s="472"/>
      <c r="S67" s="472"/>
      <c r="T67" s="472"/>
      <c r="U67" s="472"/>
      <c r="V67" s="472"/>
      <c r="W67" s="472"/>
      <c r="X67" s="472"/>
      <c r="Y67" s="472"/>
      <c r="Z67" s="472"/>
      <c r="AA67" s="472"/>
      <c r="AB67" s="472"/>
      <c r="AC67" s="472"/>
      <c r="AD67" s="472"/>
      <c r="AE67" s="472"/>
    </row>
    <row r="68" spans="1:31" ht="14.25">
      <c r="A68" s="272"/>
      <c r="B68" s="472"/>
      <c r="C68" s="280"/>
      <c r="D68" s="280"/>
      <c r="E68" s="472"/>
      <c r="F68" s="472"/>
      <c r="G68" s="472"/>
      <c r="H68" s="472"/>
      <c r="I68" s="472"/>
      <c r="J68" s="472"/>
      <c r="K68" s="472"/>
      <c r="L68" s="472"/>
      <c r="M68" s="472"/>
      <c r="N68" s="472"/>
      <c r="O68" s="472"/>
      <c r="P68" s="472"/>
      <c r="Q68" s="472"/>
      <c r="R68" s="472"/>
      <c r="S68" s="472"/>
      <c r="T68" s="472"/>
      <c r="U68" s="472"/>
      <c r="V68" s="472"/>
      <c r="W68" s="472"/>
      <c r="X68" s="472"/>
      <c r="Y68" s="472"/>
      <c r="Z68" s="472"/>
      <c r="AA68" s="472"/>
      <c r="AB68" s="472"/>
      <c r="AC68" s="472"/>
      <c r="AD68" s="472"/>
      <c r="AE68" s="472"/>
    </row>
    <row r="69" spans="1:31">
      <c r="A69" s="272"/>
      <c r="B69" s="472"/>
      <c r="C69" s="399"/>
      <c r="D69" s="400"/>
      <c r="E69" s="472"/>
      <c r="F69" s="472"/>
      <c r="G69" s="472"/>
      <c r="H69" s="472"/>
      <c r="I69" s="472"/>
      <c r="J69" s="472"/>
      <c r="K69" s="472"/>
      <c r="L69" s="472"/>
      <c r="M69" s="472"/>
      <c r="N69" s="472"/>
      <c r="O69" s="472"/>
      <c r="P69" s="472"/>
      <c r="Q69" s="472"/>
      <c r="R69" s="472"/>
      <c r="S69" s="472"/>
      <c r="T69" s="472"/>
      <c r="U69" s="472"/>
      <c r="V69" s="472"/>
      <c r="W69" s="472"/>
      <c r="X69" s="472"/>
      <c r="Y69" s="472"/>
      <c r="Z69" s="472"/>
      <c r="AA69" s="472"/>
      <c r="AB69" s="472"/>
      <c r="AC69" s="472"/>
      <c r="AD69" s="472"/>
      <c r="AE69" s="472"/>
    </row>
    <row r="70" spans="1:31">
      <c r="A70" s="272"/>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row>
    <row r="71" spans="1:31">
      <c r="A71" s="272"/>
      <c r="B71" s="472"/>
      <c r="C71" s="472"/>
      <c r="D71" s="472"/>
      <c r="E71" s="472"/>
      <c r="F71" s="472"/>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c r="AE71" s="472"/>
    </row>
    <row r="72" spans="1:31">
      <c r="A72" s="272"/>
      <c r="B72" s="472"/>
      <c r="C72" s="472"/>
      <c r="D72" s="472"/>
      <c r="E72" s="472"/>
      <c r="F72" s="472"/>
      <c r="G72" s="472"/>
      <c r="H72" s="472"/>
      <c r="I72" s="472"/>
      <c r="J72" s="472"/>
      <c r="K72" s="472"/>
      <c r="L72" s="472"/>
      <c r="M72" s="472"/>
      <c r="N72" s="472"/>
      <c r="O72" s="472"/>
      <c r="P72" s="472"/>
      <c r="Q72" s="472"/>
      <c r="R72" s="472"/>
      <c r="S72" s="472"/>
      <c r="T72" s="472"/>
      <c r="U72" s="472"/>
      <c r="V72" s="472"/>
      <c r="W72" s="472"/>
      <c r="X72" s="472"/>
      <c r="Y72" s="472"/>
      <c r="Z72" s="472"/>
      <c r="AA72" s="472"/>
      <c r="AB72" s="472"/>
      <c r="AC72" s="472"/>
      <c r="AD72" s="472"/>
      <c r="AE72" s="472"/>
    </row>
    <row r="73" spans="1:31">
      <c r="A73" s="272"/>
      <c r="B73" s="472"/>
      <c r="C73" s="472"/>
      <c r="D73" s="472"/>
      <c r="E73" s="472"/>
      <c r="F73" s="472"/>
      <c r="G73" s="472"/>
      <c r="H73" s="472"/>
      <c r="I73" s="472"/>
      <c r="J73" s="472"/>
      <c r="K73" s="472"/>
      <c r="L73" s="472"/>
      <c r="M73" s="472"/>
      <c r="N73" s="472"/>
      <c r="O73" s="472"/>
      <c r="P73" s="472"/>
      <c r="Q73" s="472"/>
      <c r="R73" s="472"/>
      <c r="S73" s="472"/>
      <c r="T73" s="472"/>
      <c r="U73" s="472"/>
      <c r="V73" s="472"/>
      <c r="W73" s="472"/>
      <c r="X73" s="472"/>
      <c r="Y73" s="472"/>
      <c r="Z73" s="472"/>
      <c r="AA73" s="472"/>
      <c r="AB73" s="472"/>
      <c r="AC73" s="472"/>
      <c r="AD73" s="472"/>
      <c r="AE73" s="472"/>
    </row>
    <row r="74" spans="1:31">
      <c r="A74" s="272"/>
      <c r="B74" s="472"/>
      <c r="C74" s="472"/>
      <c r="D74" s="472"/>
      <c r="E74" s="472"/>
      <c r="F74" s="472"/>
      <c r="G74" s="472"/>
      <c r="H74" s="472"/>
      <c r="I74" s="472"/>
      <c r="J74" s="472"/>
      <c r="K74" s="472"/>
      <c r="L74" s="472"/>
      <c r="M74" s="472"/>
      <c r="N74" s="472"/>
      <c r="O74" s="472"/>
      <c r="P74" s="472"/>
      <c r="Q74" s="472"/>
      <c r="R74" s="472"/>
      <c r="S74" s="472"/>
      <c r="T74" s="472"/>
      <c r="U74" s="472"/>
      <c r="V74" s="472"/>
      <c r="W74" s="472"/>
      <c r="X74" s="472"/>
      <c r="Y74" s="472"/>
      <c r="Z74" s="472"/>
      <c r="AA74" s="472"/>
      <c r="AB74" s="472"/>
      <c r="AC74" s="472"/>
      <c r="AD74" s="472"/>
      <c r="AE74" s="472"/>
    </row>
    <row r="75" spans="1:31">
      <c r="A75" s="272"/>
      <c r="B75" s="472"/>
      <c r="C75" s="472"/>
      <c r="D75" s="472"/>
      <c r="E75" s="472"/>
      <c r="F75" s="472"/>
      <c r="G75" s="472"/>
      <c r="H75" s="472"/>
      <c r="I75" s="472"/>
      <c r="J75" s="472"/>
      <c r="K75" s="472"/>
      <c r="L75" s="472"/>
      <c r="M75" s="472"/>
      <c r="N75" s="472"/>
      <c r="O75" s="472"/>
      <c r="P75" s="472"/>
      <c r="Q75" s="472"/>
      <c r="R75" s="472"/>
      <c r="S75" s="472"/>
      <c r="T75" s="472"/>
      <c r="U75" s="472"/>
      <c r="V75" s="472"/>
      <c r="W75" s="472"/>
      <c r="X75" s="472"/>
      <c r="Y75" s="472"/>
      <c r="Z75" s="472"/>
      <c r="AA75" s="472"/>
      <c r="AB75" s="472"/>
      <c r="AC75" s="472"/>
      <c r="AD75" s="472"/>
      <c r="AE75" s="472"/>
    </row>
    <row r="76" spans="1:31">
      <c r="A76" s="272"/>
      <c r="B76" s="472"/>
      <c r="C76" s="472"/>
      <c r="D76" s="472"/>
      <c r="E76" s="472"/>
      <c r="F76" s="472"/>
      <c r="G76" s="472"/>
      <c r="H76" s="472"/>
      <c r="I76" s="472"/>
      <c r="J76" s="472"/>
      <c r="K76" s="472"/>
      <c r="L76" s="472"/>
      <c r="M76" s="472"/>
      <c r="N76" s="472"/>
      <c r="O76" s="472"/>
      <c r="P76" s="472"/>
      <c r="Q76" s="472"/>
      <c r="R76" s="472"/>
      <c r="S76" s="472"/>
      <c r="T76" s="472"/>
      <c r="U76" s="472"/>
      <c r="V76" s="472"/>
      <c r="W76" s="472"/>
      <c r="X76" s="472"/>
      <c r="Y76" s="472"/>
      <c r="Z76" s="472"/>
      <c r="AA76" s="472"/>
      <c r="AB76" s="472"/>
      <c r="AC76" s="472"/>
      <c r="AD76" s="472"/>
      <c r="AE76" s="472"/>
    </row>
    <row r="77" spans="1:31">
      <c r="B77" s="472"/>
      <c r="C77" s="472"/>
      <c r="D77" s="472"/>
      <c r="E77" s="472"/>
      <c r="F77" s="472"/>
      <c r="G77" s="472"/>
      <c r="H77" s="472"/>
      <c r="I77" s="472"/>
      <c r="J77" s="472"/>
      <c r="K77" s="472"/>
      <c r="L77" s="472"/>
      <c r="M77" s="472"/>
      <c r="N77" s="472"/>
      <c r="O77" s="472"/>
      <c r="P77" s="472"/>
      <c r="Q77" s="472"/>
      <c r="R77" s="472"/>
      <c r="S77" s="472"/>
      <c r="T77" s="472"/>
      <c r="U77" s="472"/>
      <c r="V77" s="472"/>
      <c r="W77" s="472"/>
      <c r="X77" s="472"/>
      <c r="Y77" s="472"/>
      <c r="Z77" s="472"/>
      <c r="AA77" s="472"/>
      <c r="AB77" s="472"/>
      <c r="AC77" s="472"/>
      <c r="AD77" s="472"/>
      <c r="AE77" s="472"/>
    </row>
    <row r="78" spans="1:31">
      <c r="B78" s="472"/>
      <c r="C78" s="472"/>
      <c r="D78" s="472"/>
      <c r="E78" s="472"/>
      <c r="F78" s="472"/>
      <c r="G78" s="472"/>
      <c r="H78" s="472"/>
      <c r="I78" s="472"/>
      <c r="J78" s="472"/>
      <c r="K78" s="472"/>
      <c r="L78" s="472"/>
      <c r="M78" s="472"/>
      <c r="N78" s="472"/>
      <c r="O78" s="472"/>
      <c r="P78" s="472"/>
      <c r="Q78" s="472"/>
      <c r="R78" s="472"/>
      <c r="S78" s="472"/>
      <c r="T78" s="472"/>
      <c r="U78" s="472"/>
      <c r="V78" s="472"/>
      <c r="W78" s="472"/>
      <c r="X78" s="472"/>
      <c r="Y78" s="472"/>
      <c r="Z78" s="472"/>
      <c r="AA78" s="472"/>
      <c r="AB78" s="472"/>
      <c r="AC78" s="472"/>
      <c r="AD78" s="472"/>
      <c r="AE78" s="472"/>
    </row>
    <row r="79" spans="1:31">
      <c r="B79" s="472"/>
      <c r="C79" s="472"/>
      <c r="D79" s="472"/>
      <c r="E79" s="472"/>
      <c r="F79" s="472"/>
      <c r="G79" s="472"/>
      <c r="H79" s="472"/>
      <c r="I79" s="472"/>
      <c r="J79" s="472"/>
      <c r="K79" s="472"/>
      <c r="L79" s="472"/>
      <c r="M79" s="472"/>
      <c r="N79" s="472"/>
      <c r="O79" s="472"/>
      <c r="P79" s="472"/>
      <c r="Q79" s="472"/>
      <c r="R79" s="472"/>
      <c r="S79" s="472"/>
      <c r="T79" s="472"/>
      <c r="U79" s="472"/>
      <c r="V79" s="472"/>
      <c r="W79" s="472"/>
      <c r="X79" s="472"/>
      <c r="Y79" s="472"/>
      <c r="Z79" s="472"/>
      <c r="AA79" s="472"/>
      <c r="AB79" s="472"/>
      <c r="AC79" s="472"/>
      <c r="AD79" s="472"/>
      <c r="AE79" s="472"/>
    </row>
    <row r="80" spans="1:31">
      <c r="B80" s="472"/>
      <c r="C80" s="472"/>
      <c r="D80" s="472"/>
      <c r="E80" s="472"/>
      <c r="F80" s="472"/>
      <c r="G80" s="472"/>
      <c r="H80" s="472"/>
      <c r="I80" s="472"/>
      <c r="J80" s="472"/>
      <c r="K80" s="472"/>
      <c r="L80" s="472"/>
      <c r="M80" s="472"/>
      <c r="N80" s="472"/>
      <c r="O80" s="472"/>
      <c r="P80" s="472"/>
      <c r="Q80" s="472"/>
      <c r="R80" s="472"/>
      <c r="S80" s="472"/>
      <c r="T80" s="472"/>
      <c r="U80" s="472"/>
      <c r="V80" s="472"/>
      <c r="W80" s="472"/>
      <c r="X80" s="472"/>
      <c r="Y80" s="472"/>
      <c r="Z80" s="472"/>
      <c r="AA80" s="472"/>
      <c r="AB80" s="472"/>
      <c r="AC80" s="472"/>
      <c r="AD80" s="472"/>
      <c r="AE80" s="472"/>
    </row>
    <row r="81" spans="2:31">
      <c r="B81" s="472"/>
      <c r="C81" s="472"/>
      <c r="D81" s="472"/>
      <c r="E81" s="472"/>
      <c r="F81" s="472"/>
      <c r="G81" s="472"/>
      <c r="H81" s="472"/>
      <c r="I81" s="472"/>
      <c r="J81" s="472"/>
      <c r="K81" s="472"/>
      <c r="L81" s="472"/>
      <c r="M81" s="472"/>
      <c r="N81" s="472"/>
      <c r="O81" s="472"/>
      <c r="P81" s="472"/>
      <c r="Q81" s="472"/>
      <c r="R81" s="472"/>
      <c r="S81" s="472"/>
      <c r="T81" s="472"/>
      <c r="U81" s="472"/>
      <c r="V81" s="472"/>
      <c r="W81" s="472"/>
      <c r="X81" s="472"/>
      <c r="Y81" s="472"/>
      <c r="Z81" s="472"/>
      <c r="AA81" s="472"/>
      <c r="AB81" s="472"/>
      <c r="AC81" s="472"/>
      <c r="AD81" s="472"/>
      <c r="AE81" s="472"/>
    </row>
    <row r="82" spans="2:31">
      <c r="B82" s="472"/>
      <c r="C82" s="472"/>
      <c r="D82" s="472"/>
      <c r="E82" s="472"/>
      <c r="F82" s="472"/>
      <c r="G82" s="472"/>
      <c r="H82" s="472"/>
      <c r="I82" s="472"/>
      <c r="J82" s="472"/>
      <c r="K82" s="472"/>
      <c r="L82" s="472"/>
      <c r="M82" s="472"/>
      <c r="N82" s="472"/>
      <c r="O82" s="472"/>
      <c r="P82" s="472"/>
      <c r="Q82" s="472"/>
      <c r="R82" s="472"/>
      <c r="S82" s="472"/>
      <c r="T82" s="472"/>
      <c r="U82" s="472"/>
      <c r="V82" s="472"/>
      <c r="W82" s="472"/>
      <c r="X82" s="472"/>
      <c r="Y82" s="472"/>
      <c r="Z82" s="472"/>
      <c r="AA82" s="472"/>
      <c r="AB82" s="472"/>
      <c r="AC82" s="472"/>
      <c r="AD82" s="472"/>
      <c r="AE82" s="472"/>
    </row>
    <row r="83" spans="2:31">
      <c r="B83" s="472"/>
      <c r="C83" s="472"/>
      <c r="D83" s="472"/>
      <c r="E83" s="472"/>
      <c r="F83" s="472"/>
      <c r="G83" s="472"/>
      <c r="H83" s="472"/>
      <c r="I83" s="472"/>
      <c r="J83" s="472"/>
      <c r="K83" s="472"/>
      <c r="L83" s="472"/>
      <c r="M83" s="472"/>
      <c r="N83" s="472"/>
      <c r="O83" s="472"/>
      <c r="P83" s="472"/>
      <c r="Q83" s="472"/>
      <c r="R83" s="472"/>
      <c r="S83" s="472"/>
      <c r="T83" s="472"/>
      <c r="U83" s="472"/>
      <c r="V83" s="472"/>
      <c r="W83" s="472"/>
      <c r="X83" s="472"/>
      <c r="Y83" s="472"/>
      <c r="Z83" s="472"/>
      <c r="AA83" s="472"/>
      <c r="AB83" s="472"/>
      <c r="AC83" s="472"/>
      <c r="AD83" s="472"/>
      <c r="AE83" s="472"/>
    </row>
    <row r="84" spans="2:31">
      <c r="B84" s="472"/>
      <c r="C84" s="472"/>
      <c r="D84" s="472"/>
      <c r="E84" s="472"/>
      <c r="F84" s="472"/>
      <c r="G84" s="472"/>
      <c r="H84" s="472"/>
      <c r="I84" s="472"/>
      <c r="J84" s="472"/>
      <c r="K84" s="472"/>
      <c r="L84" s="472"/>
      <c r="M84" s="472"/>
      <c r="N84" s="472"/>
      <c r="O84" s="472"/>
      <c r="P84" s="472"/>
      <c r="Q84" s="472"/>
      <c r="R84" s="472"/>
      <c r="S84" s="472"/>
      <c r="T84" s="472"/>
      <c r="U84" s="472"/>
      <c r="V84" s="472"/>
      <c r="W84" s="472"/>
      <c r="X84" s="472"/>
      <c r="Y84" s="472"/>
      <c r="Z84" s="472"/>
      <c r="AA84" s="472"/>
      <c r="AB84" s="472"/>
      <c r="AC84" s="472"/>
      <c r="AD84" s="472"/>
      <c r="AE84" s="472"/>
    </row>
    <row r="85" spans="2:31">
      <c r="B85" s="472"/>
      <c r="C85" s="472"/>
      <c r="D85" s="472"/>
      <c r="E85" s="472"/>
      <c r="F85" s="472"/>
      <c r="G85" s="472"/>
      <c r="H85" s="472"/>
      <c r="I85" s="472"/>
      <c r="J85" s="472"/>
      <c r="K85" s="472"/>
      <c r="L85" s="472"/>
      <c r="M85" s="472"/>
      <c r="N85" s="472"/>
      <c r="O85" s="472"/>
      <c r="P85" s="472"/>
      <c r="Q85" s="472"/>
      <c r="R85" s="472"/>
      <c r="S85" s="472"/>
      <c r="T85" s="472"/>
      <c r="U85" s="472"/>
      <c r="V85" s="472"/>
      <c r="W85" s="472"/>
      <c r="X85" s="472"/>
      <c r="Y85" s="472"/>
      <c r="Z85" s="472"/>
      <c r="AA85" s="472"/>
      <c r="AB85" s="472"/>
      <c r="AC85" s="472"/>
      <c r="AD85" s="472"/>
      <c r="AE85" s="472"/>
    </row>
    <row r="86" spans="2:31">
      <c r="B86" s="472"/>
      <c r="C86" s="472"/>
      <c r="D86" s="472"/>
      <c r="E86" s="472"/>
      <c r="F86" s="472"/>
      <c r="G86" s="472"/>
      <c r="H86" s="472"/>
      <c r="I86" s="472"/>
      <c r="J86" s="472"/>
      <c r="K86" s="472"/>
      <c r="L86" s="472"/>
      <c r="M86" s="472"/>
      <c r="N86" s="472"/>
      <c r="O86" s="472"/>
      <c r="P86" s="472"/>
      <c r="Q86" s="472"/>
      <c r="R86" s="472"/>
      <c r="S86" s="472"/>
      <c r="T86" s="472"/>
      <c r="U86" s="472"/>
      <c r="V86" s="472"/>
      <c r="W86" s="472"/>
      <c r="X86" s="472"/>
      <c r="Y86" s="472"/>
      <c r="Z86" s="472"/>
      <c r="AA86" s="472"/>
      <c r="AB86" s="472"/>
      <c r="AC86" s="472"/>
      <c r="AD86" s="472"/>
      <c r="AE86" s="472"/>
    </row>
    <row r="87" spans="2:31">
      <c r="B87" s="472"/>
      <c r="C87" s="472"/>
      <c r="D87" s="472"/>
      <c r="E87" s="472"/>
      <c r="F87" s="472"/>
      <c r="G87" s="472"/>
      <c r="H87" s="472"/>
      <c r="I87" s="472"/>
      <c r="J87" s="472"/>
      <c r="K87" s="472"/>
      <c r="L87" s="472"/>
      <c r="M87" s="472"/>
      <c r="N87" s="472"/>
      <c r="O87" s="472"/>
      <c r="P87" s="472"/>
      <c r="Q87" s="472"/>
      <c r="R87" s="472"/>
      <c r="S87" s="472"/>
      <c r="T87" s="472"/>
      <c r="U87" s="472"/>
      <c r="V87" s="472"/>
      <c r="W87" s="472"/>
      <c r="X87" s="472"/>
      <c r="Y87" s="472"/>
      <c r="Z87" s="472"/>
      <c r="AA87" s="472"/>
      <c r="AB87" s="472"/>
      <c r="AC87" s="472"/>
      <c r="AD87" s="472"/>
      <c r="AE87" s="472"/>
    </row>
    <row r="88" spans="2:31">
      <c r="B88" s="472"/>
      <c r="C88" s="472"/>
      <c r="D88" s="472"/>
      <c r="E88" s="472"/>
      <c r="F88" s="472"/>
      <c r="G88" s="472"/>
      <c r="H88" s="472"/>
      <c r="I88" s="472"/>
      <c r="J88" s="472"/>
      <c r="K88" s="472"/>
      <c r="L88" s="472"/>
      <c r="M88" s="472"/>
      <c r="N88" s="472"/>
      <c r="O88" s="472"/>
      <c r="P88" s="472"/>
      <c r="Q88" s="472"/>
      <c r="R88" s="472"/>
      <c r="S88" s="472"/>
      <c r="T88" s="472"/>
      <c r="U88" s="472"/>
      <c r="V88" s="472"/>
      <c r="W88" s="472"/>
      <c r="X88" s="472"/>
      <c r="Y88" s="472"/>
      <c r="Z88" s="472"/>
      <c r="AA88" s="472"/>
      <c r="AB88" s="472"/>
      <c r="AC88" s="472"/>
      <c r="AD88" s="472"/>
      <c r="AE88" s="472"/>
    </row>
    <row r="89" spans="2:31">
      <c r="B89" s="472"/>
      <c r="C89" s="472"/>
      <c r="D89" s="472"/>
      <c r="E89" s="472"/>
      <c r="F89" s="472"/>
      <c r="G89" s="472"/>
      <c r="H89" s="472"/>
      <c r="I89" s="472"/>
      <c r="J89" s="472"/>
      <c r="K89" s="472"/>
      <c r="L89" s="472"/>
      <c r="M89" s="472"/>
      <c r="N89" s="472"/>
      <c r="O89" s="472"/>
      <c r="P89" s="472"/>
      <c r="Q89" s="472"/>
      <c r="R89" s="472"/>
      <c r="S89" s="472"/>
      <c r="T89" s="472"/>
      <c r="U89" s="472"/>
      <c r="V89" s="472"/>
      <c r="W89" s="472"/>
      <c r="X89" s="472"/>
      <c r="Y89" s="472"/>
      <c r="Z89" s="472"/>
      <c r="AA89" s="472"/>
      <c r="AB89" s="472"/>
      <c r="AC89" s="472"/>
      <c r="AD89" s="472"/>
      <c r="AE89" s="472"/>
    </row>
    <row r="90" spans="2:31">
      <c r="B90" s="472"/>
      <c r="C90" s="472"/>
      <c r="D90" s="472"/>
      <c r="E90" s="472"/>
      <c r="F90" s="472"/>
      <c r="G90" s="472"/>
      <c r="H90" s="472"/>
      <c r="I90" s="472"/>
      <c r="J90" s="472"/>
      <c r="K90" s="472"/>
      <c r="L90" s="472"/>
      <c r="M90" s="472"/>
      <c r="N90" s="472"/>
      <c r="O90" s="472"/>
      <c r="P90" s="472"/>
      <c r="Q90" s="472"/>
      <c r="R90" s="472"/>
      <c r="S90" s="472"/>
      <c r="T90" s="472"/>
      <c r="U90" s="472"/>
      <c r="V90" s="472"/>
      <c r="W90" s="472"/>
      <c r="X90" s="472"/>
      <c r="Y90" s="472"/>
      <c r="Z90" s="472"/>
      <c r="AA90" s="472"/>
      <c r="AB90" s="472"/>
      <c r="AC90" s="472"/>
      <c r="AD90" s="472"/>
      <c r="AE90" s="472"/>
    </row>
    <row r="91" spans="2:31">
      <c r="B91" s="472"/>
      <c r="C91" s="472"/>
      <c r="D91" s="472"/>
      <c r="E91" s="472"/>
      <c r="F91" s="472"/>
      <c r="G91" s="472"/>
      <c r="H91" s="472"/>
      <c r="I91" s="472"/>
      <c r="J91" s="472"/>
      <c r="K91" s="472"/>
      <c r="L91" s="472"/>
      <c r="M91" s="472"/>
      <c r="N91" s="472"/>
      <c r="O91" s="472"/>
      <c r="P91" s="472"/>
      <c r="Q91" s="472"/>
      <c r="R91" s="472"/>
      <c r="S91" s="472"/>
      <c r="T91" s="472"/>
      <c r="U91" s="472"/>
      <c r="V91" s="472"/>
      <c r="W91" s="472"/>
      <c r="X91" s="472"/>
      <c r="Y91" s="472"/>
      <c r="Z91" s="472"/>
      <c r="AA91" s="472"/>
      <c r="AB91" s="472"/>
      <c r="AC91" s="472"/>
      <c r="AD91" s="472"/>
      <c r="AE91" s="472"/>
    </row>
    <row r="92" spans="2:31">
      <c r="B92" s="472"/>
      <c r="C92" s="472"/>
      <c r="D92" s="472"/>
      <c r="E92" s="472"/>
      <c r="F92" s="472"/>
      <c r="G92" s="472"/>
      <c r="H92" s="472"/>
      <c r="I92" s="472"/>
      <c r="J92" s="472"/>
      <c r="K92" s="472"/>
      <c r="L92" s="472"/>
      <c r="M92" s="472"/>
      <c r="N92" s="472"/>
      <c r="O92" s="472"/>
      <c r="P92" s="472"/>
      <c r="Q92" s="472"/>
      <c r="R92" s="472"/>
      <c r="S92" s="472"/>
      <c r="T92" s="472"/>
      <c r="U92" s="472"/>
      <c r="V92" s="472"/>
      <c r="W92" s="472"/>
      <c r="X92" s="472"/>
      <c r="Y92" s="472"/>
      <c r="Z92" s="472"/>
      <c r="AA92" s="472"/>
      <c r="AB92" s="472"/>
      <c r="AC92" s="472"/>
      <c r="AD92" s="472"/>
      <c r="AE92" s="472"/>
    </row>
    <row r="93" spans="2:31">
      <c r="B93" s="472"/>
      <c r="C93" s="472"/>
      <c r="D93" s="472"/>
      <c r="E93" s="472"/>
      <c r="F93" s="472"/>
      <c r="G93" s="472"/>
      <c r="H93" s="472"/>
      <c r="I93" s="472"/>
      <c r="J93" s="472"/>
      <c r="K93" s="472"/>
      <c r="L93" s="472"/>
      <c r="M93" s="472"/>
      <c r="N93" s="472"/>
      <c r="O93" s="472"/>
      <c r="P93" s="472"/>
      <c r="Q93" s="472"/>
      <c r="R93" s="472"/>
      <c r="S93" s="472"/>
      <c r="T93" s="472"/>
      <c r="U93" s="472"/>
      <c r="V93" s="472"/>
      <c r="W93" s="472"/>
      <c r="X93" s="472"/>
      <c r="Y93" s="472"/>
      <c r="Z93" s="472"/>
      <c r="AA93" s="472"/>
      <c r="AB93" s="472"/>
      <c r="AC93" s="472"/>
      <c r="AD93" s="472"/>
      <c r="AE93" s="472"/>
    </row>
    <row r="94" spans="2:31">
      <c r="B94" s="472"/>
      <c r="C94" s="472"/>
      <c r="D94" s="472"/>
      <c r="E94" s="472"/>
      <c r="F94" s="472"/>
      <c r="G94" s="472"/>
      <c r="H94" s="472"/>
      <c r="I94" s="472"/>
      <c r="J94" s="472"/>
      <c r="K94" s="472"/>
      <c r="L94" s="472"/>
      <c r="M94" s="472"/>
      <c r="N94" s="472"/>
      <c r="O94" s="472"/>
      <c r="P94" s="472"/>
      <c r="Q94" s="472"/>
      <c r="R94" s="472"/>
      <c r="S94" s="472"/>
      <c r="T94" s="472"/>
      <c r="U94" s="472"/>
      <c r="V94" s="472"/>
      <c r="W94" s="472"/>
      <c r="X94" s="472"/>
      <c r="Y94" s="472"/>
      <c r="Z94" s="472"/>
      <c r="AA94" s="472"/>
      <c r="AB94" s="472"/>
      <c r="AC94" s="472"/>
      <c r="AD94" s="472"/>
      <c r="AE94" s="472"/>
    </row>
    <row r="95" spans="2:31">
      <c r="B95" s="472"/>
      <c r="C95" s="472"/>
      <c r="D95" s="472"/>
      <c r="E95" s="472"/>
      <c r="F95" s="472"/>
      <c r="G95" s="472"/>
      <c r="H95" s="472"/>
      <c r="I95" s="472"/>
      <c r="J95" s="472"/>
      <c r="K95" s="472"/>
      <c r="L95" s="472"/>
      <c r="M95" s="472"/>
      <c r="N95" s="472"/>
      <c r="O95" s="472"/>
      <c r="P95" s="472"/>
      <c r="Q95" s="472"/>
      <c r="R95" s="472"/>
      <c r="S95" s="472"/>
      <c r="T95" s="472"/>
      <c r="U95" s="472"/>
      <c r="V95" s="472"/>
      <c r="W95" s="472"/>
      <c r="X95" s="472"/>
      <c r="Y95" s="472"/>
      <c r="Z95" s="472"/>
      <c r="AA95" s="472"/>
      <c r="AB95" s="472"/>
      <c r="AC95" s="472"/>
      <c r="AD95" s="472"/>
      <c r="AE95" s="472"/>
    </row>
    <row r="96" spans="2:31">
      <c r="B96" s="472"/>
      <c r="C96" s="472"/>
      <c r="D96" s="472"/>
      <c r="E96" s="472"/>
      <c r="F96" s="472"/>
      <c r="G96" s="472"/>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row>
    <row r="97" spans="2:31">
      <c r="B97" s="472"/>
      <c r="C97" s="472"/>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row>
    <row r="98" spans="2:31">
      <c r="B98" s="472"/>
      <c r="C98" s="472"/>
      <c r="D98" s="472"/>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row>
    <row r="99" spans="2:31">
      <c r="B99" s="472"/>
      <c r="C99" s="472"/>
      <c r="D99" s="472"/>
      <c r="E99" s="472"/>
      <c r="F99" s="472"/>
      <c r="G99" s="472"/>
      <c r="H99" s="472"/>
      <c r="I99" s="472"/>
      <c r="J99" s="472"/>
      <c r="K99" s="472"/>
      <c r="L99" s="472"/>
      <c r="M99" s="472"/>
      <c r="N99" s="472"/>
      <c r="O99" s="472"/>
      <c r="P99" s="472"/>
      <c r="Q99" s="472"/>
      <c r="R99" s="472"/>
      <c r="S99" s="472"/>
      <c r="T99" s="472"/>
      <c r="U99" s="472"/>
      <c r="V99" s="472"/>
      <c r="W99" s="472"/>
      <c r="X99" s="472"/>
      <c r="Y99" s="472"/>
      <c r="Z99" s="472"/>
      <c r="AA99" s="472"/>
      <c r="AB99" s="472"/>
      <c r="AC99" s="472"/>
      <c r="AD99" s="472"/>
      <c r="AE99" s="472"/>
    </row>
    <row r="100" spans="2:31">
      <c r="B100" s="472"/>
      <c r="C100" s="472"/>
      <c r="D100" s="472"/>
      <c r="E100" s="472"/>
      <c r="F100" s="472"/>
      <c r="G100" s="472"/>
      <c r="H100" s="472"/>
      <c r="I100" s="472"/>
      <c r="J100" s="472"/>
      <c r="K100" s="472"/>
      <c r="L100" s="472"/>
      <c r="M100" s="472"/>
      <c r="N100" s="472"/>
      <c r="O100" s="472"/>
      <c r="P100" s="472"/>
      <c r="Q100" s="472"/>
      <c r="R100" s="472"/>
      <c r="S100" s="472"/>
      <c r="T100" s="472"/>
      <c r="U100" s="472"/>
      <c r="V100" s="472"/>
      <c r="W100" s="472"/>
      <c r="X100" s="472"/>
      <c r="Y100" s="472"/>
      <c r="Z100" s="472"/>
      <c r="AA100" s="472"/>
      <c r="AB100" s="472"/>
      <c r="AC100" s="472"/>
      <c r="AD100" s="472"/>
      <c r="AE100" s="472"/>
    </row>
    <row r="101" spans="2:31">
      <c r="B101" s="472"/>
      <c r="C101" s="472"/>
      <c r="D101" s="472"/>
      <c r="E101" s="472"/>
      <c r="F101" s="472"/>
      <c r="G101" s="472"/>
      <c r="H101" s="472"/>
      <c r="I101" s="472"/>
      <c r="J101" s="472"/>
      <c r="K101" s="472"/>
      <c r="L101" s="472"/>
      <c r="M101" s="472"/>
      <c r="N101" s="472"/>
      <c r="O101" s="472"/>
      <c r="P101" s="472"/>
      <c r="Q101" s="472"/>
      <c r="R101" s="472"/>
      <c r="S101" s="472"/>
      <c r="T101" s="472"/>
      <c r="U101" s="472"/>
      <c r="V101" s="472"/>
      <c r="W101" s="472"/>
      <c r="X101" s="472"/>
      <c r="Y101" s="472"/>
      <c r="Z101" s="472"/>
      <c r="AA101" s="472"/>
      <c r="AB101" s="472"/>
      <c r="AC101" s="472"/>
      <c r="AD101" s="472"/>
      <c r="AE101" s="472"/>
    </row>
    <row r="102" spans="2:31">
      <c r="B102" s="472"/>
      <c r="C102" s="472"/>
      <c r="D102" s="472"/>
      <c r="E102" s="472"/>
      <c r="F102" s="472"/>
      <c r="G102" s="472"/>
      <c r="H102" s="472"/>
      <c r="I102" s="472"/>
      <c r="J102" s="472"/>
      <c r="K102" s="472"/>
      <c r="L102" s="472"/>
      <c r="M102" s="472"/>
      <c r="N102" s="472"/>
      <c r="O102" s="472"/>
      <c r="P102" s="472"/>
      <c r="Q102" s="472"/>
      <c r="R102" s="472"/>
      <c r="S102" s="472"/>
      <c r="T102" s="472"/>
      <c r="U102" s="472"/>
      <c r="V102" s="472"/>
      <c r="W102" s="472"/>
      <c r="X102" s="472"/>
      <c r="Y102" s="472"/>
      <c r="Z102" s="472"/>
      <c r="AA102" s="472"/>
      <c r="AB102" s="472"/>
      <c r="AC102" s="472"/>
      <c r="AD102" s="472"/>
      <c r="AE102" s="472"/>
    </row>
    <row r="103" spans="2:31">
      <c r="B103" s="472"/>
      <c r="C103" s="472"/>
      <c r="D103" s="472"/>
      <c r="E103" s="472"/>
      <c r="F103" s="472"/>
      <c r="G103" s="472"/>
      <c r="H103" s="472"/>
      <c r="I103" s="472"/>
      <c r="J103" s="472"/>
      <c r="K103" s="472"/>
      <c r="L103" s="472"/>
      <c r="M103" s="472"/>
      <c r="N103" s="472"/>
      <c r="O103" s="472"/>
      <c r="P103" s="472"/>
      <c r="Q103" s="472"/>
      <c r="R103" s="472"/>
      <c r="S103" s="472"/>
      <c r="T103" s="472"/>
      <c r="U103" s="472"/>
      <c r="V103" s="472"/>
      <c r="W103" s="472"/>
      <c r="X103" s="472"/>
      <c r="Y103" s="472"/>
      <c r="Z103" s="472"/>
      <c r="AA103" s="472"/>
      <c r="AB103" s="472"/>
      <c r="AC103" s="472"/>
      <c r="AD103" s="472"/>
      <c r="AE103" s="472"/>
    </row>
    <row r="104" spans="2:31">
      <c r="B104" s="472"/>
      <c r="C104" s="472"/>
      <c r="D104" s="472"/>
      <c r="E104" s="472"/>
      <c r="F104" s="472"/>
      <c r="G104" s="472"/>
      <c r="H104" s="472"/>
      <c r="I104" s="472"/>
      <c r="J104" s="472"/>
      <c r="K104" s="472"/>
      <c r="L104" s="472"/>
      <c r="M104" s="472"/>
      <c r="N104" s="472"/>
      <c r="O104" s="472"/>
      <c r="P104" s="472"/>
      <c r="Q104" s="472"/>
      <c r="R104" s="472"/>
      <c r="S104" s="472"/>
      <c r="T104" s="472"/>
      <c r="U104" s="472"/>
      <c r="V104" s="472"/>
      <c r="W104" s="472"/>
      <c r="X104" s="472"/>
      <c r="Y104" s="472"/>
      <c r="Z104" s="472"/>
      <c r="AA104" s="472"/>
      <c r="AB104" s="472"/>
      <c r="AC104" s="472"/>
      <c r="AD104" s="472"/>
      <c r="AE104" s="472"/>
    </row>
    <row r="105" spans="2:31">
      <c r="B105" s="472"/>
      <c r="C105" s="472"/>
      <c r="D105" s="472"/>
      <c r="E105" s="472"/>
      <c r="F105" s="472"/>
      <c r="G105" s="472"/>
      <c r="H105" s="472"/>
      <c r="I105" s="472"/>
      <c r="J105" s="472"/>
      <c r="K105" s="472"/>
      <c r="L105" s="472"/>
      <c r="M105" s="472"/>
      <c r="N105" s="472"/>
      <c r="O105" s="472"/>
      <c r="P105" s="472"/>
      <c r="Q105" s="472"/>
      <c r="R105" s="472"/>
      <c r="S105" s="472"/>
      <c r="T105" s="472"/>
      <c r="U105" s="472"/>
      <c r="V105" s="472"/>
      <c r="W105" s="472"/>
      <c r="X105" s="472"/>
      <c r="Y105" s="472"/>
      <c r="Z105" s="472"/>
      <c r="AA105" s="472"/>
      <c r="AB105" s="472"/>
      <c r="AC105" s="472"/>
      <c r="AD105" s="472"/>
      <c r="AE105" s="472"/>
    </row>
    <row r="106" spans="2:31">
      <c r="B106" s="472"/>
      <c r="C106" s="472"/>
      <c r="D106" s="472"/>
      <c r="E106" s="472"/>
      <c r="F106" s="472"/>
      <c r="G106" s="472"/>
      <c r="H106" s="472"/>
      <c r="I106" s="472"/>
      <c r="J106" s="472"/>
      <c r="K106" s="472"/>
      <c r="L106" s="472"/>
      <c r="M106" s="472"/>
      <c r="N106" s="472"/>
      <c r="O106" s="472"/>
      <c r="P106" s="472"/>
      <c r="Q106" s="472"/>
      <c r="R106" s="472"/>
      <c r="S106" s="472"/>
      <c r="T106" s="472"/>
      <c r="U106" s="472"/>
      <c r="V106" s="472"/>
      <c r="W106" s="472"/>
      <c r="X106" s="472"/>
      <c r="Y106" s="472"/>
      <c r="Z106" s="472"/>
      <c r="AA106" s="472"/>
      <c r="AB106" s="472"/>
      <c r="AC106" s="472"/>
      <c r="AD106" s="472"/>
      <c r="AE106" s="472"/>
    </row>
    <row r="107" spans="2:31">
      <c r="B107" s="472"/>
      <c r="C107" s="472"/>
      <c r="D107" s="472"/>
      <c r="E107" s="472"/>
      <c r="F107" s="472"/>
      <c r="G107" s="472"/>
      <c r="H107" s="472"/>
      <c r="I107" s="472"/>
      <c r="J107" s="472"/>
      <c r="K107" s="472"/>
      <c r="L107" s="472"/>
      <c r="M107" s="472"/>
      <c r="N107" s="472"/>
      <c r="O107" s="472"/>
      <c r="P107" s="472"/>
      <c r="Q107" s="472"/>
      <c r="R107" s="472"/>
      <c r="S107" s="472"/>
      <c r="T107" s="472"/>
      <c r="U107" s="472"/>
      <c r="V107" s="472"/>
      <c r="W107" s="472"/>
      <c r="X107" s="472"/>
      <c r="Y107" s="472"/>
      <c r="Z107" s="472"/>
      <c r="AA107" s="472"/>
      <c r="AB107" s="472"/>
      <c r="AC107" s="472"/>
      <c r="AD107" s="472"/>
      <c r="AE107" s="472"/>
    </row>
    <row r="108" spans="2:31">
      <c r="B108" s="472"/>
      <c r="C108" s="472"/>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2"/>
      <c r="AD108" s="472"/>
      <c r="AE108" s="472"/>
    </row>
    <row r="109" spans="2:31">
      <c r="B109" s="472"/>
      <c r="C109" s="472"/>
      <c r="D109" s="472"/>
      <c r="E109" s="472"/>
      <c r="F109" s="472"/>
      <c r="G109" s="472"/>
      <c r="H109" s="472"/>
      <c r="I109" s="472"/>
      <c r="J109" s="472"/>
      <c r="K109" s="472"/>
      <c r="L109" s="472"/>
      <c r="M109" s="472"/>
      <c r="N109" s="472"/>
      <c r="O109" s="472"/>
      <c r="P109" s="472"/>
      <c r="Q109" s="472"/>
      <c r="R109" s="472"/>
      <c r="S109" s="472"/>
      <c r="T109" s="472"/>
      <c r="U109" s="472"/>
      <c r="V109" s="472"/>
      <c r="W109" s="472"/>
      <c r="X109" s="472"/>
      <c r="Y109" s="472"/>
      <c r="Z109" s="472"/>
      <c r="AA109" s="472"/>
      <c r="AB109" s="472"/>
      <c r="AC109" s="472"/>
      <c r="AD109" s="472"/>
      <c r="AE109" s="472"/>
    </row>
    <row r="110" spans="2:31">
      <c r="B110" s="472"/>
      <c r="C110" s="472"/>
      <c r="D110" s="472"/>
      <c r="E110" s="472"/>
      <c r="F110" s="472"/>
      <c r="G110" s="472"/>
      <c r="H110" s="472"/>
      <c r="I110" s="472"/>
      <c r="J110" s="472"/>
      <c r="K110" s="472"/>
      <c r="L110" s="472"/>
      <c r="M110" s="472"/>
      <c r="N110" s="472"/>
      <c r="O110" s="472"/>
      <c r="P110" s="472"/>
      <c r="Q110" s="472"/>
      <c r="R110" s="472"/>
      <c r="S110" s="472"/>
      <c r="T110" s="472"/>
      <c r="U110" s="472"/>
      <c r="V110" s="472"/>
      <c r="W110" s="472"/>
      <c r="X110" s="472"/>
      <c r="Y110" s="472"/>
      <c r="Z110" s="472"/>
      <c r="AA110" s="472"/>
      <c r="AB110" s="472"/>
      <c r="AC110" s="472"/>
      <c r="AD110" s="472"/>
      <c r="AE110" s="472"/>
    </row>
    <row r="111" spans="2:31">
      <c r="B111" s="472"/>
      <c r="C111" s="472"/>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472"/>
      <c r="AE111" s="472"/>
    </row>
    <row r="112" spans="2:31">
      <c r="B112" s="472"/>
      <c r="C112" s="472"/>
      <c r="D112" s="472"/>
      <c r="E112" s="472"/>
      <c r="F112" s="472"/>
      <c r="G112" s="472"/>
      <c r="H112" s="472"/>
      <c r="I112" s="472"/>
      <c r="J112" s="472"/>
      <c r="K112" s="472"/>
      <c r="L112" s="472"/>
      <c r="M112" s="472"/>
      <c r="N112" s="472"/>
      <c r="O112" s="472"/>
      <c r="P112" s="472"/>
      <c r="Q112" s="472"/>
      <c r="R112" s="472"/>
      <c r="S112" s="472"/>
      <c r="T112" s="472"/>
      <c r="U112" s="472"/>
      <c r="V112" s="472"/>
      <c r="W112" s="472"/>
      <c r="X112" s="472"/>
      <c r="Y112" s="472"/>
      <c r="Z112" s="472"/>
      <c r="AA112" s="472"/>
      <c r="AB112" s="472"/>
      <c r="AC112" s="472"/>
      <c r="AD112" s="472"/>
      <c r="AE112" s="472"/>
    </row>
    <row r="113" spans="2:31">
      <c r="B113" s="472"/>
      <c r="C113" s="472"/>
      <c r="D113" s="472"/>
      <c r="E113" s="472"/>
      <c r="F113" s="472"/>
      <c r="G113" s="472"/>
      <c r="H113" s="472"/>
      <c r="I113" s="472"/>
      <c r="J113" s="472"/>
      <c r="K113" s="472"/>
      <c r="L113" s="472"/>
      <c r="M113" s="472"/>
      <c r="N113" s="472"/>
      <c r="O113" s="472"/>
      <c r="P113" s="472"/>
      <c r="Q113" s="472"/>
      <c r="R113" s="472"/>
      <c r="S113" s="472"/>
      <c r="T113" s="472"/>
      <c r="U113" s="472"/>
      <c r="V113" s="472"/>
      <c r="W113" s="472"/>
      <c r="X113" s="472"/>
      <c r="Y113" s="472"/>
      <c r="Z113" s="472"/>
      <c r="AA113" s="472"/>
      <c r="AB113" s="472"/>
      <c r="AC113" s="472"/>
      <c r="AD113" s="472"/>
      <c r="AE113" s="472"/>
    </row>
    <row r="114" spans="2:31">
      <c r="B114" s="472"/>
      <c r="C114" s="472"/>
      <c r="D114" s="472"/>
      <c r="E114" s="472"/>
      <c r="F114" s="472"/>
      <c r="G114" s="472"/>
      <c r="H114" s="472"/>
      <c r="I114" s="472"/>
      <c r="J114" s="472"/>
      <c r="K114" s="472"/>
      <c r="L114" s="472"/>
      <c r="M114" s="472"/>
      <c r="N114" s="472"/>
      <c r="O114" s="472"/>
      <c r="P114" s="472"/>
      <c r="Q114" s="472"/>
      <c r="R114" s="472"/>
      <c r="S114" s="472"/>
      <c r="T114" s="472"/>
      <c r="U114" s="472"/>
      <c r="V114" s="472"/>
      <c r="W114" s="472"/>
      <c r="X114" s="472"/>
      <c r="Y114" s="472"/>
      <c r="Z114" s="472"/>
      <c r="AA114" s="472"/>
      <c r="AB114" s="472"/>
      <c r="AC114" s="472"/>
      <c r="AD114" s="472"/>
      <c r="AE114" s="472"/>
    </row>
    <row r="115" spans="2:31">
      <c r="B115" s="472"/>
      <c r="C115" s="472"/>
      <c r="D115" s="472"/>
      <c r="E115" s="472"/>
      <c r="F115" s="472"/>
      <c r="G115" s="472"/>
      <c r="H115" s="472"/>
      <c r="I115" s="472"/>
      <c r="J115" s="472"/>
      <c r="K115" s="472"/>
      <c r="L115" s="472"/>
      <c r="M115" s="472"/>
      <c r="N115" s="472"/>
      <c r="O115" s="472"/>
      <c r="P115" s="472"/>
      <c r="Q115" s="472"/>
      <c r="R115" s="472"/>
      <c r="S115" s="472"/>
      <c r="T115" s="472"/>
      <c r="U115" s="472"/>
      <c r="V115" s="472"/>
      <c r="W115" s="472"/>
      <c r="X115" s="472"/>
      <c r="Y115" s="472"/>
      <c r="Z115" s="472"/>
      <c r="AA115" s="472"/>
      <c r="AB115" s="472"/>
      <c r="AC115" s="472"/>
      <c r="AD115" s="472"/>
      <c r="AE115" s="472"/>
    </row>
    <row r="116" spans="2:31">
      <c r="B116" s="472"/>
      <c r="C116" s="472"/>
      <c r="D116" s="472"/>
      <c r="E116" s="472"/>
      <c r="F116" s="472"/>
      <c r="G116" s="472"/>
      <c r="H116" s="472"/>
      <c r="I116" s="472"/>
      <c r="J116" s="472"/>
      <c r="K116" s="472"/>
      <c r="L116" s="472"/>
      <c r="M116" s="472"/>
      <c r="N116" s="472"/>
      <c r="O116" s="472"/>
      <c r="P116" s="472"/>
      <c r="Q116" s="472"/>
      <c r="R116" s="472"/>
      <c r="S116" s="472"/>
      <c r="T116" s="472"/>
      <c r="U116" s="472"/>
      <c r="V116" s="472"/>
      <c r="W116" s="472"/>
      <c r="X116" s="472"/>
      <c r="Y116" s="472"/>
      <c r="Z116" s="472"/>
      <c r="AA116" s="472"/>
      <c r="AB116" s="472"/>
      <c r="AC116" s="472"/>
      <c r="AD116" s="472"/>
      <c r="AE116" s="472"/>
    </row>
    <row r="117" spans="2:31">
      <c r="B117" s="472"/>
      <c r="C117" s="472"/>
      <c r="D117" s="472"/>
      <c r="E117" s="472"/>
      <c r="F117" s="472"/>
      <c r="G117" s="472"/>
      <c r="H117" s="472"/>
      <c r="I117" s="472"/>
      <c r="J117" s="472"/>
      <c r="K117" s="472"/>
      <c r="L117" s="472"/>
      <c r="M117" s="472"/>
      <c r="N117" s="472"/>
      <c r="O117" s="472"/>
      <c r="P117" s="472"/>
      <c r="Q117" s="472"/>
      <c r="R117" s="472"/>
      <c r="S117" s="472"/>
      <c r="T117" s="472"/>
      <c r="U117" s="472"/>
      <c r="V117" s="472"/>
      <c r="W117" s="472"/>
      <c r="X117" s="472"/>
      <c r="Y117" s="472"/>
      <c r="Z117" s="472"/>
      <c r="AA117" s="472"/>
      <c r="AB117" s="472"/>
      <c r="AC117" s="472"/>
      <c r="AD117" s="472"/>
      <c r="AE117" s="472"/>
    </row>
    <row r="118" spans="2:31">
      <c r="B118" s="472"/>
      <c r="C118" s="472"/>
      <c r="D118" s="472"/>
      <c r="E118" s="472"/>
      <c r="F118" s="472"/>
      <c r="G118" s="472"/>
      <c r="H118" s="472"/>
      <c r="I118" s="472"/>
      <c r="J118" s="472"/>
      <c r="K118" s="472"/>
      <c r="L118" s="472"/>
      <c r="M118" s="472"/>
      <c r="N118" s="472"/>
      <c r="O118" s="472"/>
      <c r="P118" s="472"/>
      <c r="Q118" s="472"/>
      <c r="R118" s="472"/>
      <c r="S118" s="472"/>
      <c r="T118" s="472"/>
      <c r="U118" s="472"/>
      <c r="V118" s="472"/>
      <c r="W118" s="472"/>
      <c r="X118" s="472"/>
      <c r="Y118" s="472"/>
      <c r="Z118" s="472"/>
      <c r="AA118" s="472"/>
      <c r="AB118" s="472"/>
      <c r="AC118" s="472"/>
      <c r="AD118" s="472"/>
      <c r="AE118" s="472"/>
    </row>
    <row r="119" spans="2:31">
      <c r="B119" s="472"/>
      <c r="C119" s="472"/>
      <c r="D119" s="472"/>
      <c r="E119" s="472"/>
      <c r="F119" s="472"/>
      <c r="G119" s="472"/>
      <c r="H119" s="472"/>
      <c r="I119" s="472"/>
      <c r="J119" s="472"/>
      <c r="K119" s="472"/>
      <c r="L119" s="472"/>
      <c r="M119" s="472"/>
      <c r="N119" s="472"/>
      <c r="O119" s="472"/>
      <c r="P119" s="472"/>
      <c r="Q119" s="472"/>
      <c r="R119" s="472"/>
      <c r="S119" s="472"/>
      <c r="T119" s="472"/>
      <c r="U119" s="472"/>
      <c r="V119" s="472"/>
      <c r="W119" s="472"/>
      <c r="X119" s="472"/>
      <c r="Y119" s="472"/>
      <c r="Z119" s="472"/>
      <c r="AA119" s="472"/>
      <c r="AB119" s="472"/>
      <c r="AC119" s="472"/>
      <c r="AD119" s="472"/>
      <c r="AE119" s="472"/>
    </row>
    <row r="120" spans="2:31">
      <c r="B120" s="472"/>
      <c r="C120" s="472"/>
      <c r="D120" s="472"/>
      <c r="E120" s="472"/>
      <c r="F120" s="472"/>
      <c r="G120" s="472"/>
      <c r="H120" s="472"/>
      <c r="I120" s="472"/>
      <c r="J120" s="472"/>
      <c r="K120" s="472"/>
      <c r="L120" s="472"/>
      <c r="M120" s="472"/>
      <c r="N120" s="472"/>
      <c r="O120" s="472"/>
      <c r="P120" s="472"/>
      <c r="Q120" s="472"/>
      <c r="R120" s="472"/>
      <c r="S120" s="472"/>
      <c r="T120" s="472"/>
      <c r="U120" s="472"/>
      <c r="V120" s="472"/>
      <c r="W120" s="472"/>
      <c r="X120" s="472"/>
      <c r="Y120" s="472"/>
      <c r="Z120" s="472"/>
      <c r="AA120" s="472"/>
      <c r="AB120" s="472"/>
      <c r="AC120" s="472"/>
      <c r="AD120" s="472"/>
      <c r="AE120" s="472"/>
    </row>
    <row r="121" spans="2:31">
      <c r="B121" s="472"/>
      <c r="C121" s="472"/>
      <c r="D121" s="472"/>
      <c r="E121" s="472"/>
      <c r="F121" s="472"/>
      <c r="G121" s="472"/>
      <c r="H121" s="472"/>
      <c r="I121" s="472"/>
      <c r="J121" s="472"/>
      <c r="K121" s="472"/>
      <c r="L121" s="472"/>
      <c r="M121" s="472"/>
      <c r="N121" s="472"/>
      <c r="O121" s="472"/>
      <c r="P121" s="472"/>
      <c r="Q121" s="472"/>
      <c r="R121" s="472"/>
      <c r="S121" s="472"/>
      <c r="T121" s="472"/>
      <c r="U121" s="472"/>
      <c r="V121" s="472"/>
      <c r="W121" s="472"/>
      <c r="X121" s="472"/>
      <c r="Y121" s="472"/>
      <c r="Z121" s="472"/>
      <c r="AA121" s="472"/>
      <c r="AB121" s="472"/>
      <c r="AC121" s="472"/>
      <c r="AD121" s="472"/>
      <c r="AE121" s="472"/>
    </row>
    <row r="122" spans="2:31">
      <c r="B122" s="472"/>
      <c r="C122" s="472"/>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2"/>
      <c r="AD122" s="472"/>
      <c r="AE122" s="472"/>
    </row>
    <row r="123" spans="2:31">
      <c r="B123" s="472"/>
      <c r="C123" s="472"/>
      <c r="D123" s="472"/>
      <c r="E123" s="472"/>
      <c r="F123" s="472"/>
      <c r="G123" s="472"/>
      <c r="H123" s="472"/>
      <c r="I123" s="472"/>
      <c r="J123" s="472"/>
      <c r="K123" s="472"/>
      <c r="L123" s="472"/>
      <c r="M123" s="472"/>
      <c r="N123" s="472"/>
      <c r="O123" s="472"/>
      <c r="P123" s="472"/>
      <c r="Q123" s="472"/>
      <c r="R123" s="472"/>
      <c r="S123" s="472"/>
      <c r="T123" s="472"/>
      <c r="U123" s="472"/>
      <c r="V123" s="472"/>
      <c r="W123" s="472"/>
      <c r="X123" s="472"/>
      <c r="Y123" s="472"/>
      <c r="Z123" s="472"/>
      <c r="AA123" s="472"/>
      <c r="AB123" s="472"/>
      <c r="AC123" s="472"/>
      <c r="AD123" s="472"/>
      <c r="AE123" s="472"/>
    </row>
    <row r="124" spans="2:31">
      <c r="B124" s="472"/>
      <c r="C124" s="472"/>
      <c r="D124" s="472"/>
      <c r="E124" s="472"/>
      <c r="F124" s="472"/>
      <c r="G124" s="472"/>
      <c r="H124" s="472"/>
      <c r="I124" s="472"/>
      <c r="J124" s="472"/>
      <c r="K124" s="472"/>
      <c r="L124" s="472"/>
      <c r="M124" s="472"/>
      <c r="N124" s="472"/>
      <c r="O124" s="472"/>
      <c r="P124" s="472"/>
      <c r="Q124" s="472"/>
      <c r="R124" s="472"/>
      <c r="S124" s="472"/>
      <c r="T124" s="472"/>
      <c r="U124" s="472"/>
      <c r="V124" s="472"/>
      <c r="W124" s="472"/>
      <c r="X124" s="472"/>
      <c r="Y124" s="472"/>
      <c r="Z124" s="472"/>
      <c r="AA124" s="472"/>
      <c r="AB124" s="472"/>
      <c r="AC124" s="472"/>
      <c r="AD124" s="472"/>
      <c r="AE124" s="472"/>
    </row>
    <row r="125" spans="2:31">
      <c r="B125" s="472"/>
      <c r="C125" s="472"/>
      <c r="D125" s="472"/>
      <c r="E125" s="472"/>
      <c r="F125" s="472"/>
      <c r="G125" s="472"/>
      <c r="H125" s="472"/>
      <c r="I125" s="472"/>
      <c r="J125" s="472"/>
      <c r="K125" s="472"/>
      <c r="L125" s="472"/>
      <c r="M125" s="472"/>
      <c r="N125" s="472"/>
      <c r="O125" s="472"/>
      <c r="P125" s="472"/>
      <c r="Q125" s="472"/>
      <c r="R125" s="472"/>
      <c r="S125" s="472"/>
      <c r="T125" s="472"/>
      <c r="U125" s="472"/>
      <c r="V125" s="472"/>
      <c r="W125" s="472"/>
      <c r="X125" s="472"/>
      <c r="Y125" s="472"/>
      <c r="Z125" s="472"/>
      <c r="AA125" s="472"/>
      <c r="AB125" s="472"/>
      <c r="AC125" s="472"/>
      <c r="AD125" s="472"/>
      <c r="AE125" s="472"/>
    </row>
    <row r="126" spans="2:31">
      <c r="B126" s="472"/>
      <c r="C126" s="472"/>
      <c r="D126" s="472"/>
      <c r="E126" s="472"/>
      <c r="F126" s="472"/>
      <c r="G126" s="472"/>
      <c r="H126" s="472"/>
      <c r="I126" s="472"/>
      <c r="J126" s="472"/>
      <c r="K126" s="472"/>
      <c r="L126" s="472"/>
      <c r="M126" s="472"/>
      <c r="N126" s="472"/>
      <c r="O126" s="472"/>
      <c r="P126" s="472"/>
      <c r="Q126" s="472"/>
      <c r="R126" s="472"/>
      <c r="S126" s="472"/>
      <c r="T126" s="472"/>
      <c r="U126" s="472"/>
      <c r="V126" s="472"/>
      <c r="W126" s="472"/>
      <c r="X126" s="472"/>
      <c r="Y126" s="472"/>
      <c r="Z126" s="472"/>
      <c r="AA126" s="472"/>
      <c r="AB126" s="472"/>
      <c r="AC126" s="472"/>
      <c r="AD126" s="472"/>
      <c r="AE126" s="472"/>
    </row>
    <row r="127" spans="2:31">
      <c r="B127" s="472"/>
      <c r="C127" s="472"/>
      <c r="D127" s="472"/>
      <c r="E127" s="472"/>
      <c r="F127" s="472"/>
      <c r="G127" s="472"/>
      <c r="H127" s="472"/>
      <c r="I127" s="472"/>
      <c r="J127" s="472"/>
      <c r="K127" s="472"/>
      <c r="L127" s="472"/>
      <c r="M127" s="472"/>
      <c r="N127" s="472"/>
      <c r="O127" s="472"/>
      <c r="P127" s="472"/>
      <c r="Q127" s="472"/>
      <c r="R127" s="472"/>
      <c r="S127" s="472"/>
      <c r="T127" s="472"/>
      <c r="U127" s="472"/>
      <c r="V127" s="472"/>
      <c r="W127" s="472"/>
      <c r="X127" s="472"/>
      <c r="Y127" s="472"/>
      <c r="Z127" s="472"/>
      <c r="AA127" s="472"/>
      <c r="AB127" s="472"/>
      <c r="AC127" s="472"/>
      <c r="AD127" s="472"/>
      <c r="AE127" s="472"/>
    </row>
    <row r="128" spans="2:31">
      <c r="B128" s="472"/>
      <c r="C128" s="472"/>
      <c r="D128" s="472"/>
      <c r="E128" s="472"/>
      <c r="F128" s="472"/>
      <c r="G128" s="472"/>
      <c r="H128" s="472"/>
      <c r="I128" s="472"/>
      <c r="J128" s="472"/>
      <c r="K128" s="472"/>
      <c r="L128" s="472"/>
      <c r="M128" s="472"/>
      <c r="N128" s="472"/>
      <c r="O128" s="472"/>
      <c r="P128" s="472"/>
      <c r="Q128" s="472"/>
      <c r="R128" s="472"/>
      <c r="S128" s="472"/>
      <c r="T128" s="472"/>
      <c r="U128" s="472"/>
      <c r="V128" s="472"/>
      <c r="W128" s="472"/>
      <c r="X128" s="472"/>
      <c r="Y128" s="472"/>
      <c r="Z128" s="472"/>
      <c r="AA128" s="472"/>
      <c r="AB128" s="472"/>
      <c r="AC128" s="472"/>
      <c r="AD128" s="472"/>
      <c r="AE128" s="472"/>
    </row>
    <row r="129" spans="2:31">
      <c r="B129" s="472"/>
      <c r="C129" s="472"/>
      <c r="D129" s="472"/>
      <c r="E129" s="472"/>
      <c r="F129" s="472"/>
      <c r="G129" s="472"/>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row>
    <row r="130" spans="2:31">
      <c r="B130" s="472"/>
      <c r="C130" s="472"/>
      <c r="D130" s="472"/>
      <c r="E130" s="472"/>
      <c r="F130" s="472"/>
      <c r="G130" s="472"/>
      <c r="H130" s="472"/>
      <c r="I130" s="472"/>
      <c r="J130" s="472"/>
      <c r="K130" s="472"/>
      <c r="L130" s="472"/>
      <c r="M130" s="472"/>
      <c r="N130" s="472"/>
      <c r="O130" s="472"/>
      <c r="P130" s="472"/>
      <c r="Q130" s="472"/>
      <c r="R130" s="472"/>
      <c r="S130" s="472"/>
      <c r="T130" s="472"/>
      <c r="U130" s="472"/>
      <c r="V130" s="472"/>
      <c r="W130" s="472"/>
      <c r="X130" s="472"/>
      <c r="Y130" s="472"/>
      <c r="Z130" s="472"/>
      <c r="AA130" s="472"/>
      <c r="AB130" s="472"/>
      <c r="AC130" s="472"/>
      <c r="AD130" s="472"/>
      <c r="AE130" s="472"/>
    </row>
    <row r="131" spans="2:31">
      <c r="B131" s="472"/>
      <c r="C131" s="472"/>
      <c r="D131" s="472"/>
      <c r="E131" s="472"/>
      <c r="F131" s="472"/>
      <c r="G131" s="472"/>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row>
    <row r="132" spans="2:31">
      <c r="B132" s="472"/>
      <c r="C132" s="472"/>
      <c r="D132" s="472"/>
      <c r="E132" s="472"/>
      <c r="F132" s="472"/>
      <c r="G132" s="472"/>
      <c r="H132" s="472"/>
      <c r="I132" s="472"/>
      <c r="J132" s="472"/>
      <c r="K132" s="472"/>
      <c r="L132" s="472"/>
      <c r="M132" s="472"/>
      <c r="N132" s="472"/>
      <c r="O132" s="472"/>
      <c r="P132" s="472"/>
      <c r="Q132" s="472"/>
      <c r="R132" s="472"/>
      <c r="S132" s="472"/>
      <c r="T132" s="472"/>
      <c r="U132" s="472"/>
      <c r="V132" s="472"/>
      <c r="W132" s="472"/>
      <c r="X132" s="472"/>
      <c r="Y132" s="472"/>
      <c r="Z132" s="472"/>
      <c r="AA132" s="472"/>
      <c r="AB132" s="472"/>
      <c r="AC132" s="472"/>
      <c r="AD132" s="472"/>
      <c r="AE132" s="472"/>
    </row>
    <row r="133" spans="2:31">
      <c r="B133" s="472"/>
      <c r="C133" s="472"/>
      <c r="D133" s="472"/>
      <c r="E133" s="472"/>
      <c r="F133" s="472"/>
      <c r="G133" s="472"/>
      <c r="H133" s="472"/>
      <c r="I133" s="472"/>
      <c r="J133" s="472"/>
      <c r="K133" s="472"/>
      <c r="L133" s="472"/>
      <c r="M133" s="472"/>
      <c r="N133" s="472"/>
      <c r="O133" s="472"/>
      <c r="P133" s="472"/>
      <c r="Q133" s="472"/>
      <c r="R133" s="472"/>
      <c r="S133" s="472"/>
      <c r="T133" s="472"/>
      <c r="U133" s="472"/>
      <c r="V133" s="472"/>
      <c r="W133" s="472"/>
      <c r="X133" s="472"/>
      <c r="Y133" s="472"/>
      <c r="Z133" s="472"/>
      <c r="AA133" s="472"/>
      <c r="AB133" s="472"/>
      <c r="AC133" s="472"/>
      <c r="AD133" s="472"/>
      <c r="AE133" s="472"/>
    </row>
    <row r="134" spans="2:31">
      <c r="B134" s="472"/>
      <c r="C134" s="472"/>
      <c r="D134" s="472"/>
      <c r="E134" s="472"/>
      <c r="F134" s="472"/>
      <c r="G134" s="472"/>
      <c r="H134" s="472"/>
      <c r="I134" s="472"/>
      <c r="J134" s="472"/>
      <c r="K134" s="472"/>
      <c r="L134" s="472"/>
      <c r="M134" s="472"/>
      <c r="N134" s="472"/>
      <c r="O134" s="472"/>
      <c r="P134" s="472"/>
      <c r="Q134" s="472"/>
      <c r="R134" s="472"/>
      <c r="S134" s="472"/>
      <c r="T134" s="472"/>
      <c r="U134" s="472"/>
      <c r="V134" s="472"/>
      <c r="W134" s="472"/>
      <c r="X134" s="472"/>
      <c r="Y134" s="472"/>
      <c r="Z134" s="472"/>
      <c r="AA134" s="472"/>
      <c r="AB134" s="472"/>
      <c r="AC134" s="472"/>
      <c r="AD134" s="472"/>
      <c r="AE134" s="472"/>
    </row>
    <row r="135" spans="2:31">
      <c r="B135" s="472"/>
      <c r="C135" s="472"/>
      <c r="D135" s="472"/>
      <c r="E135" s="472"/>
      <c r="F135" s="472"/>
      <c r="G135" s="472"/>
      <c r="H135" s="472"/>
      <c r="I135" s="472"/>
      <c r="J135" s="472"/>
      <c r="K135" s="472"/>
      <c r="L135" s="472"/>
      <c r="M135" s="472"/>
      <c r="N135" s="472"/>
      <c r="O135" s="472"/>
      <c r="P135" s="472"/>
      <c r="Q135" s="472"/>
      <c r="R135" s="472"/>
      <c r="S135" s="472"/>
      <c r="T135" s="472"/>
      <c r="U135" s="472"/>
      <c r="V135" s="472"/>
      <c r="W135" s="472"/>
      <c r="X135" s="472"/>
      <c r="Y135" s="472"/>
      <c r="Z135" s="472"/>
      <c r="AA135" s="472"/>
      <c r="AB135" s="472"/>
      <c r="AC135" s="472"/>
      <c r="AD135" s="472"/>
      <c r="AE135" s="472"/>
    </row>
    <row r="136" spans="2:31">
      <c r="B136" s="472"/>
      <c r="C136" s="472"/>
      <c r="D136" s="472"/>
      <c r="E136" s="472"/>
      <c r="F136" s="472"/>
      <c r="G136" s="472"/>
      <c r="H136" s="472"/>
      <c r="I136" s="472"/>
      <c r="J136" s="472"/>
      <c r="K136" s="472"/>
      <c r="L136" s="472"/>
      <c r="M136" s="472"/>
      <c r="N136" s="472"/>
      <c r="O136" s="472"/>
      <c r="P136" s="472"/>
      <c r="Q136" s="472"/>
      <c r="R136" s="472"/>
      <c r="S136" s="472"/>
      <c r="T136" s="472"/>
      <c r="U136" s="472"/>
      <c r="V136" s="472"/>
      <c r="W136" s="472"/>
      <c r="X136" s="472"/>
      <c r="Y136" s="472"/>
      <c r="Z136" s="472"/>
      <c r="AA136" s="472"/>
      <c r="AB136" s="472"/>
      <c r="AC136" s="472"/>
      <c r="AD136" s="472"/>
      <c r="AE136" s="472"/>
    </row>
    <row r="137" spans="2:31">
      <c r="B137" s="472"/>
      <c r="C137" s="472"/>
      <c r="D137" s="472"/>
      <c r="E137" s="472"/>
      <c r="F137" s="472"/>
      <c r="G137" s="472"/>
      <c r="H137" s="472"/>
      <c r="I137" s="472"/>
      <c r="J137" s="472"/>
      <c r="K137" s="472"/>
      <c r="L137" s="472"/>
      <c r="M137" s="472"/>
      <c r="N137" s="472"/>
      <c r="O137" s="472"/>
      <c r="P137" s="472"/>
      <c r="Q137" s="472"/>
      <c r="R137" s="472"/>
      <c r="S137" s="472"/>
      <c r="T137" s="472"/>
      <c r="U137" s="472"/>
      <c r="V137" s="472"/>
      <c r="W137" s="472"/>
      <c r="X137" s="472"/>
      <c r="Y137" s="472"/>
      <c r="Z137" s="472"/>
      <c r="AA137" s="472"/>
      <c r="AB137" s="472"/>
      <c r="AC137" s="472"/>
      <c r="AD137" s="472"/>
      <c r="AE137" s="472"/>
    </row>
    <row r="138" spans="2:31">
      <c r="B138" s="472"/>
      <c r="C138" s="472"/>
      <c r="D138" s="472"/>
      <c r="E138" s="472"/>
      <c r="F138" s="472"/>
      <c r="G138" s="472"/>
      <c r="H138" s="472"/>
      <c r="I138" s="472"/>
      <c r="J138" s="472"/>
      <c r="K138" s="472"/>
      <c r="L138" s="472"/>
      <c r="M138" s="472"/>
      <c r="N138" s="472"/>
      <c r="O138" s="472"/>
      <c r="P138" s="472"/>
      <c r="Q138" s="472"/>
      <c r="R138" s="472"/>
      <c r="S138" s="472"/>
      <c r="T138" s="472"/>
      <c r="U138" s="472"/>
      <c r="V138" s="472"/>
      <c r="W138" s="472"/>
      <c r="X138" s="472"/>
      <c r="Y138" s="472"/>
      <c r="Z138" s="472"/>
      <c r="AA138" s="472"/>
      <c r="AB138" s="472"/>
      <c r="AC138" s="472"/>
      <c r="AD138" s="472"/>
      <c r="AE138" s="472"/>
    </row>
    <row r="139" spans="2:31">
      <c r="B139" s="472"/>
      <c r="C139" s="472"/>
      <c r="D139" s="472"/>
      <c r="E139" s="472"/>
      <c r="F139" s="472"/>
      <c r="G139" s="472"/>
      <c r="H139" s="472"/>
      <c r="I139" s="472"/>
      <c r="J139" s="472"/>
      <c r="K139" s="472"/>
      <c r="L139" s="472"/>
      <c r="M139" s="472"/>
      <c r="N139" s="472"/>
      <c r="O139" s="472"/>
      <c r="P139" s="472"/>
      <c r="Q139" s="472"/>
      <c r="R139" s="472"/>
      <c r="S139" s="472"/>
      <c r="T139" s="472"/>
      <c r="U139" s="472"/>
      <c r="V139" s="472"/>
      <c r="W139" s="472"/>
      <c r="X139" s="472"/>
      <c r="Y139" s="472"/>
      <c r="Z139" s="472"/>
      <c r="AA139" s="472"/>
      <c r="AB139" s="472"/>
      <c r="AC139" s="472"/>
      <c r="AD139" s="472"/>
      <c r="AE139" s="472"/>
    </row>
    <row r="140" spans="2:31">
      <c r="B140" s="472"/>
      <c r="C140" s="472"/>
      <c r="D140" s="472"/>
      <c r="E140" s="472"/>
      <c r="F140" s="472"/>
      <c r="G140" s="472"/>
      <c r="H140" s="472"/>
      <c r="I140" s="472"/>
      <c r="J140" s="472"/>
      <c r="K140" s="472"/>
      <c r="L140" s="472"/>
      <c r="M140" s="472"/>
      <c r="N140" s="472"/>
      <c r="O140" s="472"/>
      <c r="P140" s="472"/>
      <c r="Q140" s="472"/>
      <c r="R140" s="472"/>
      <c r="S140" s="472"/>
      <c r="T140" s="472"/>
      <c r="U140" s="472"/>
      <c r="V140" s="472"/>
      <c r="W140" s="472"/>
      <c r="X140" s="472"/>
      <c r="Y140" s="472"/>
      <c r="Z140" s="472"/>
      <c r="AA140" s="472"/>
      <c r="AB140" s="472"/>
      <c r="AC140" s="472"/>
      <c r="AD140" s="472"/>
      <c r="AE140" s="472"/>
    </row>
    <row r="141" spans="2:31">
      <c r="B141" s="472"/>
      <c r="C141" s="472"/>
      <c r="D141" s="472"/>
      <c r="E141" s="472"/>
      <c r="F141" s="472"/>
      <c r="G141" s="472"/>
      <c r="H141" s="472"/>
      <c r="I141" s="472"/>
      <c r="J141" s="472"/>
      <c r="K141" s="472"/>
      <c r="L141" s="472"/>
      <c r="M141" s="472"/>
      <c r="N141" s="472"/>
      <c r="O141" s="472"/>
      <c r="P141" s="472"/>
      <c r="Q141" s="472"/>
      <c r="R141" s="472"/>
      <c r="S141" s="472"/>
      <c r="T141" s="472"/>
      <c r="U141" s="472"/>
      <c r="V141" s="472"/>
      <c r="W141" s="472"/>
      <c r="X141" s="472"/>
      <c r="Y141" s="472"/>
      <c r="Z141" s="472"/>
      <c r="AA141" s="472"/>
      <c r="AB141" s="472"/>
      <c r="AC141" s="472"/>
      <c r="AD141" s="472"/>
      <c r="AE141" s="472"/>
    </row>
    <row r="142" spans="2:31">
      <c r="B142" s="472"/>
      <c r="C142" s="472"/>
      <c r="D142" s="472"/>
      <c r="E142" s="472"/>
      <c r="F142" s="472"/>
      <c r="G142" s="472"/>
      <c r="H142" s="472"/>
      <c r="I142" s="472"/>
      <c r="J142" s="472"/>
      <c r="K142" s="472"/>
      <c r="L142" s="472"/>
      <c r="M142" s="472"/>
      <c r="N142" s="472"/>
      <c r="O142" s="472"/>
      <c r="P142" s="472"/>
      <c r="Q142" s="472"/>
      <c r="R142" s="472"/>
      <c r="S142" s="472"/>
      <c r="T142" s="472"/>
      <c r="U142" s="472"/>
      <c r="V142" s="472"/>
      <c r="W142" s="472"/>
      <c r="X142" s="472"/>
      <c r="Y142" s="472"/>
      <c r="Z142" s="472"/>
      <c r="AA142" s="472"/>
      <c r="AB142" s="472"/>
      <c r="AC142" s="472"/>
      <c r="AD142" s="472"/>
      <c r="AE142" s="472"/>
    </row>
    <row r="143" spans="2:31">
      <c r="B143" s="472"/>
      <c r="C143" s="472"/>
      <c r="D143" s="472"/>
      <c r="E143" s="472"/>
      <c r="F143" s="472"/>
      <c r="G143" s="472"/>
      <c r="H143" s="472"/>
      <c r="I143" s="472"/>
      <c r="J143" s="472"/>
      <c r="K143" s="472"/>
      <c r="L143" s="472"/>
      <c r="M143" s="472"/>
      <c r="N143" s="472"/>
      <c r="O143" s="472"/>
      <c r="P143" s="472"/>
      <c r="Q143" s="472"/>
      <c r="R143" s="472"/>
      <c r="S143" s="472"/>
      <c r="T143" s="472"/>
      <c r="U143" s="472"/>
      <c r="V143" s="472"/>
      <c r="W143" s="472"/>
      <c r="X143" s="472"/>
      <c r="Y143" s="472"/>
      <c r="Z143" s="472"/>
      <c r="AA143" s="472"/>
      <c r="AB143" s="472"/>
      <c r="AC143" s="472"/>
      <c r="AD143" s="472"/>
      <c r="AE143" s="472"/>
    </row>
    <row r="144" spans="2:31">
      <c r="B144" s="472"/>
      <c r="C144" s="472"/>
      <c r="D144" s="472"/>
      <c r="E144" s="472"/>
      <c r="F144" s="472"/>
      <c r="G144" s="472"/>
      <c r="H144" s="472"/>
      <c r="I144" s="472"/>
      <c r="J144" s="472"/>
      <c r="K144" s="472"/>
      <c r="L144" s="472"/>
      <c r="M144" s="472"/>
      <c r="N144" s="472"/>
      <c r="O144" s="472"/>
      <c r="P144" s="472"/>
      <c r="Q144" s="472"/>
      <c r="R144" s="472"/>
      <c r="S144" s="472"/>
      <c r="T144" s="472"/>
      <c r="U144" s="472"/>
      <c r="V144" s="472"/>
      <c r="W144" s="472"/>
      <c r="X144" s="472"/>
      <c r="Y144" s="472"/>
      <c r="Z144" s="472"/>
      <c r="AA144" s="472"/>
      <c r="AB144" s="472"/>
      <c r="AC144" s="472"/>
      <c r="AD144" s="472"/>
      <c r="AE144" s="472"/>
    </row>
    <row r="145" spans="2:31">
      <c r="B145" s="472"/>
      <c r="C145" s="472"/>
      <c r="D145" s="472"/>
      <c r="E145" s="472"/>
      <c r="F145" s="472"/>
      <c r="G145" s="472"/>
      <c r="H145" s="472"/>
      <c r="I145" s="472"/>
      <c r="J145" s="472"/>
      <c r="K145" s="472"/>
      <c r="L145" s="472"/>
      <c r="M145" s="472"/>
      <c r="N145" s="472"/>
      <c r="O145" s="472"/>
      <c r="P145" s="472"/>
      <c r="Q145" s="472"/>
      <c r="R145" s="472"/>
      <c r="S145" s="472"/>
      <c r="T145" s="472"/>
      <c r="U145" s="472"/>
      <c r="V145" s="472"/>
      <c r="W145" s="472"/>
      <c r="X145" s="472"/>
      <c r="Y145" s="472"/>
      <c r="Z145" s="472"/>
      <c r="AA145" s="472"/>
      <c r="AB145" s="472"/>
      <c r="AC145" s="472"/>
      <c r="AD145" s="472"/>
      <c r="AE145" s="472"/>
    </row>
    <row r="146" spans="2:31">
      <c r="B146" s="472"/>
      <c r="C146" s="472"/>
      <c r="D146" s="472"/>
      <c r="E146" s="472"/>
      <c r="F146" s="472"/>
      <c r="G146" s="472"/>
      <c r="H146" s="472"/>
      <c r="I146" s="472"/>
      <c r="J146" s="472"/>
      <c r="K146" s="472"/>
      <c r="L146" s="472"/>
      <c r="M146" s="472"/>
      <c r="N146" s="472"/>
      <c r="O146" s="472"/>
      <c r="P146" s="472"/>
      <c r="Q146" s="472"/>
      <c r="R146" s="472"/>
      <c r="S146" s="472"/>
      <c r="T146" s="472"/>
      <c r="U146" s="472"/>
      <c r="V146" s="472"/>
      <c r="W146" s="472"/>
      <c r="X146" s="472"/>
      <c r="Y146" s="472"/>
      <c r="Z146" s="472"/>
      <c r="AA146" s="472"/>
      <c r="AB146" s="472"/>
      <c r="AC146" s="472"/>
      <c r="AD146" s="472"/>
      <c r="AE146" s="472"/>
    </row>
    <row r="147" spans="2:31">
      <c r="B147" s="472"/>
      <c r="C147" s="472"/>
      <c r="D147" s="472"/>
      <c r="E147" s="472"/>
      <c r="F147" s="472"/>
      <c r="G147" s="472"/>
      <c r="H147" s="472"/>
      <c r="I147" s="472"/>
      <c r="J147" s="472"/>
      <c r="K147" s="472"/>
      <c r="L147" s="472"/>
      <c r="M147" s="472"/>
      <c r="N147" s="472"/>
      <c r="O147" s="472"/>
      <c r="P147" s="472"/>
      <c r="Q147" s="472"/>
      <c r="R147" s="472"/>
      <c r="S147" s="472"/>
      <c r="T147" s="472"/>
      <c r="U147" s="472"/>
      <c r="V147" s="472"/>
      <c r="W147" s="472"/>
      <c r="X147" s="472"/>
      <c r="Y147" s="472"/>
      <c r="Z147" s="472"/>
      <c r="AA147" s="472"/>
      <c r="AB147" s="472"/>
      <c r="AC147" s="472"/>
      <c r="AD147" s="472"/>
      <c r="AE147" s="472"/>
    </row>
    <row r="148" spans="2:31">
      <c r="B148" s="472"/>
      <c r="C148" s="472"/>
      <c r="D148" s="472"/>
      <c r="E148" s="472"/>
      <c r="F148" s="472"/>
      <c r="G148" s="472"/>
      <c r="H148" s="472"/>
      <c r="I148" s="472"/>
      <c r="J148" s="472"/>
      <c r="K148" s="472"/>
      <c r="L148" s="472"/>
      <c r="M148" s="472"/>
      <c r="N148" s="472"/>
      <c r="O148" s="472"/>
      <c r="P148" s="472"/>
      <c r="Q148" s="472"/>
      <c r="R148" s="472"/>
      <c r="S148" s="472"/>
      <c r="T148" s="472"/>
      <c r="U148" s="472"/>
      <c r="V148" s="472"/>
      <c r="W148" s="472"/>
      <c r="X148" s="472"/>
      <c r="Y148" s="472"/>
      <c r="Z148" s="472"/>
      <c r="AA148" s="472"/>
      <c r="AB148" s="472"/>
      <c r="AC148" s="472"/>
      <c r="AD148" s="472"/>
      <c r="AE148" s="472"/>
    </row>
    <row r="149" spans="2:31">
      <c r="B149" s="472"/>
      <c r="C149" s="472"/>
      <c r="D149" s="472"/>
      <c r="E149" s="472"/>
      <c r="F149" s="472"/>
      <c r="G149" s="472"/>
      <c r="H149" s="472"/>
      <c r="I149" s="472"/>
      <c r="J149" s="472"/>
      <c r="K149" s="472"/>
      <c r="L149" s="472"/>
      <c r="M149" s="472"/>
      <c r="N149" s="472"/>
      <c r="O149" s="472"/>
      <c r="P149" s="472"/>
      <c r="Q149" s="472"/>
      <c r="R149" s="472"/>
      <c r="S149" s="472"/>
      <c r="T149" s="472"/>
      <c r="U149" s="472"/>
      <c r="V149" s="472"/>
      <c r="W149" s="472"/>
      <c r="X149" s="472"/>
      <c r="Y149" s="472"/>
      <c r="Z149" s="472"/>
      <c r="AA149" s="472"/>
      <c r="AB149" s="472"/>
      <c r="AC149" s="472"/>
      <c r="AD149" s="472"/>
      <c r="AE149" s="472"/>
    </row>
    <row r="150" spans="2:31">
      <c r="B150" s="472"/>
      <c r="C150" s="472"/>
      <c r="D150" s="472"/>
      <c r="E150" s="472"/>
      <c r="F150" s="472"/>
      <c r="G150" s="472"/>
      <c r="H150" s="472"/>
      <c r="I150" s="472"/>
      <c r="J150" s="472"/>
      <c r="K150" s="472"/>
      <c r="L150" s="472"/>
      <c r="M150" s="472"/>
      <c r="N150" s="472"/>
      <c r="O150" s="472"/>
      <c r="P150" s="472"/>
      <c r="Q150" s="472"/>
      <c r="R150" s="472"/>
      <c r="S150" s="472"/>
      <c r="T150" s="472"/>
      <c r="U150" s="472"/>
      <c r="V150" s="472"/>
      <c r="W150" s="472"/>
      <c r="X150" s="472"/>
      <c r="Y150" s="472"/>
      <c r="Z150" s="472"/>
      <c r="AA150" s="472"/>
      <c r="AB150" s="472"/>
      <c r="AC150" s="472"/>
      <c r="AD150" s="472"/>
      <c r="AE150" s="472"/>
    </row>
    <row r="151" spans="2:31">
      <c r="B151" s="472"/>
      <c r="C151" s="472"/>
      <c r="D151" s="472"/>
      <c r="E151" s="472"/>
      <c r="F151" s="472"/>
      <c r="G151" s="472"/>
      <c r="H151" s="472"/>
      <c r="I151" s="472"/>
      <c r="J151" s="472"/>
      <c r="K151" s="472"/>
      <c r="L151" s="472"/>
      <c r="M151" s="472"/>
      <c r="N151" s="472"/>
      <c r="O151" s="472"/>
      <c r="P151" s="472"/>
      <c r="Q151" s="472"/>
      <c r="R151" s="472"/>
      <c r="S151" s="472"/>
      <c r="T151" s="472"/>
      <c r="U151" s="472"/>
      <c r="V151" s="472"/>
      <c r="W151" s="472"/>
      <c r="X151" s="472"/>
      <c r="Y151" s="472"/>
      <c r="Z151" s="472"/>
      <c r="AA151" s="472"/>
      <c r="AB151" s="472"/>
      <c r="AC151" s="472"/>
      <c r="AD151" s="472"/>
      <c r="AE151" s="472"/>
    </row>
    <row r="152" spans="2:31">
      <c r="B152" s="472"/>
      <c r="C152" s="472"/>
      <c r="D152" s="472"/>
      <c r="E152" s="472"/>
      <c r="F152" s="472"/>
      <c r="G152" s="472"/>
      <c r="H152" s="472"/>
      <c r="I152" s="472"/>
      <c r="J152" s="472"/>
      <c r="K152" s="472"/>
      <c r="L152" s="472"/>
      <c r="M152" s="472"/>
      <c r="N152" s="472"/>
      <c r="O152" s="472"/>
      <c r="P152" s="472"/>
      <c r="Q152" s="472"/>
      <c r="R152" s="472"/>
      <c r="S152" s="472"/>
      <c r="T152" s="472"/>
      <c r="U152" s="472"/>
      <c r="V152" s="472"/>
      <c r="W152" s="472"/>
      <c r="X152" s="472"/>
      <c r="Y152" s="472"/>
      <c r="Z152" s="472"/>
      <c r="AA152" s="472"/>
      <c r="AB152" s="472"/>
      <c r="AC152" s="472"/>
      <c r="AD152" s="472"/>
      <c r="AE152" s="472"/>
    </row>
    <row r="153" spans="2:31">
      <c r="B153" s="472"/>
      <c r="C153" s="472"/>
      <c r="D153" s="472"/>
      <c r="E153" s="472"/>
      <c r="F153" s="472"/>
      <c r="G153" s="472"/>
      <c r="H153" s="472"/>
      <c r="I153" s="472"/>
      <c r="J153" s="472"/>
      <c r="K153" s="472"/>
      <c r="L153" s="472"/>
      <c r="M153" s="472"/>
      <c r="N153" s="472"/>
      <c r="O153" s="472"/>
      <c r="P153" s="472"/>
      <c r="Q153" s="472"/>
      <c r="R153" s="472"/>
      <c r="S153" s="472"/>
      <c r="T153" s="472"/>
      <c r="U153" s="472"/>
      <c r="V153" s="472"/>
      <c r="W153" s="472"/>
      <c r="X153" s="472"/>
      <c r="Y153" s="472"/>
      <c r="Z153" s="472"/>
      <c r="AA153" s="472"/>
      <c r="AB153" s="472"/>
      <c r="AC153" s="472"/>
      <c r="AD153" s="472"/>
      <c r="AE153" s="472"/>
    </row>
    <row r="154" spans="2:31">
      <c r="B154" s="472"/>
      <c r="C154" s="472"/>
      <c r="D154" s="472"/>
      <c r="E154" s="472"/>
      <c r="F154" s="472"/>
      <c r="G154" s="472"/>
      <c r="H154" s="472"/>
      <c r="I154" s="472"/>
      <c r="J154" s="472"/>
      <c r="K154" s="472"/>
      <c r="L154" s="472"/>
      <c r="M154" s="472"/>
      <c r="N154" s="472"/>
      <c r="O154" s="472"/>
      <c r="P154" s="472"/>
      <c r="Q154" s="472"/>
      <c r="R154" s="472"/>
      <c r="S154" s="472"/>
      <c r="T154" s="472"/>
      <c r="U154" s="472"/>
      <c r="V154" s="472"/>
      <c r="W154" s="472"/>
      <c r="X154" s="472"/>
      <c r="Y154" s="472"/>
      <c r="Z154" s="472"/>
      <c r="AA154" s="472"/>
      <c r="AB154" s="472"/>
      <c r="AC154" s="472"/>
      <c r="AD154" s="472"/>
      <c r="AE154" s="472"/>
    </row>
    <row r="155" spans="2:31">
      <c r="B155" s="472"/>
      <c r="C155" s="472"/>
      <c r="D155" s="472"/>
      <c r="E155" s="472"/>
      <c r="F155" s="472"/>
      <c r="G155" s="472"/>
      <c r="H155" s="472"/>
      <c r="I155" s="472"/>
      <c r="J155" s="472"/>
      <c r="K155" s="472"/>
      <c r="L155" s="472"/>
      <c r="M155" s="472"/>
      <c r="N155" s="472"/>
      <c r="O155" s="472"/>
      <c r="P155" s="472"/>
      <c r="Q155" s="472"/>
      <c r="R155" s="472"/>
      <c r="S155" s="472"/>
      <c r="T155" s="472"/>
      <c r="U155" s="472"/>
      <c r="V155" s="472"/>
      <c r="W155" s="472"/>
      <c r="X155" s="472"/>
      <c r="Y155" s="472"/>
      <c r="Z155" s="472"/>
      <c r="AA155" s="472"/>
      <c r="AB155" s="472"/>
      <c r="AC155" s="472"/>
      <c r="AD155" s="472"/>
      <c r="AE155" s="472"/>
    </row>
    <row r="156" spans="2:31">
      <c r="B156" s="472"/>
      <c r="C156" s="472"/>
      <c r="D156" s="472"/>
      <c r="E156" s="472"/>
      <c r="F156" s="472"/>
      <c r="G156" s="472"/>
      <c r="H156" s="472"/>
      <c r="I156" s="472"/>
      <c r="J156" s="472"/>
      <c r="K156" s="472"/>
      <c r="L156" s="472"/>
      <c r="M156" s="472"/>
      <c r="N156" s="472"/>
      <c r="O156" s="472"/>
      <c r="P156" s="472"/>
      <c r="Q156" s="472"/>
      <c r="R156" s="472"/>
      <c r="S156" s="472"/>
      <c r="T156" s="472"/>
      <c r="U156" s="472"/>
      <c r="V156" s="472"/>
      <c r="W156" s="472"/>
      <c r="X156" s="472"/>
      <c r="Y156" s="472"/>
      <c r="Z156" s="472"/>
      <c r="AA156" s="472"/>
      <c r="AB156" s="472"/>
      <c r="AC156" s="472"/>
      <c r="AD156" s="472"/>
      <c r="AE156" s="472"/>
    </row>
    <row r="157" spans="2:31">
      <c r="B157" s="472"/>
      <c r="C157" s="472"/>
      <c r="D157" s="472"/>
      <c r="E157" s="472"/>
      <c r="F157" s="472"/>
      <c r="G157" s="472"/>
      <c r="H157" s="472"/>
      <c r="I157" s="472"/>
      <c r="J157" s="472"/>
      <c r="K157" s="472"/>
      <c r="L157" s="472"/>
      <c r="M157" s="472"/>
      <c r="N157" s="472"/>
      <c r="O157" s="472"/>
      <c r="P157" s="472"/>
      <c r="Q157" s="472"/>
      <c r="R157" s="472"/>
      <c r="S157" s="472"/>
      <c r="T157" s="472"/>
      <c r="U157" s="472"/>
      <c r="V157" s="472"/>
      <c r="W157" s="472"/>
      <c r="X157" s="472"/>
      <c r="Y157" s="472"/>
      <c r="Z157" s="472"/>
      <c r="AA157" s="472"/>
      <c r="AB157" s="472"/>
      <c r="AC157" s="472"/>
      <c r="AD157" s="472"/>
      <c r="AE157" s="472"/>
    </row>
    <row r="158" spans="2:31">
      <c r="B158" s="472"/>
      <c r="C158" s="472"/>
      <c r="D158" s="472"/>
      <c r="E158" s="472"/>
      <c r="F158" s="472"/>
      <c r="G158" s="472"/>
      <c r="H158" s="472"/>
      <c r="I158" s="472"/>
      <c r="J158" s="472"/>
      <c r="K158" s="472"/>
      <c r="L158" s="472"/>
      <c r="M158" s="472"/>
      <c r="N158" s="472"/>
      <c r="O158" s="472"/>
      <c r="P158" s="472"/>
      <c r="Q158" s="472"/>
      <c r="R158" s="472"/>
      <c r="S158" s="472"/>
      <c r="T158" s="472"/>
      <c r="U158" s="472"/>
      <c r="V158" s="472"/>
      <c r="W158" s="472"/>
      <c r="X158" s="472"/>
      <c r="Y158" s="472"/>
      <c r="Z158" s="472"/>
      <c r="AA158" s="472"/>
      <c r="AB158" s="472"/>
      <c r="AC158" s="472"/>
      <c r="AD158" s="472"/>
      <c r="AE158" s="472"/>
    </row>
    <row r="159" spans="2:31">
      <c r="B159" s="472"/>
      <c r="C159" s="472"/>
      <c r="D159" s="472"/>
      <c r="E159" s="472"/>
      <c r="F159" s="472"/>
      <c r="G159" s="472"/>
      <c r="H159" s="472"/>
      <c r="I159" s="472"/>
      <c r="J159" s="472"/>
      <c r="K159" s="472"/>
      <c r="L159" s="472"/>
      <c r="M159" s="472"/>
      <c r="N159" s="472"/>
      <c r="O159" s="472"/>
      <c r="P159" s="472"/>
      <c r="Q159" s="472"/>
      <c r="R159" s="472"/>
      <c r="S159" s="472"/>
      <c r="T159" s="472"/>
      <c r="U159" s="472"/>
      <c r="V159" s="472"/>
      <c r="W159" s="472"/>
      <c r="X159" s="472"/>
      <c r="Y159" s="472"/>
      <c r="Z159" s="472"/>
      <c r="AA159" s="472"/>
      <c r="AB159" s="472"/>
      <c r="AC159" s="472"/>
      <c r="AD159" s="472"/>
      <c r="AE159" s="472"/>
    </row>
    <row r="160" spans="2:31">
      <c r="B160" s="472"/>
      <c r="C160" s="472"/>
      <c r="D160" s="472"/>
      <c r="E160" s="472"/>
      <c r="F160" s="472"/>
      <c r="G160" s="472"/>
      <c r="H160" s="472"/>
      <c r="I160" s="472"/>
      <c r="J160" s="472"/>
      <c r="K160" s="472"/>
      <c r="L160" s="472"/>
      <c r="M160" s="472"/>
      <c r="N160" s="472"/>
      <c r="O160" s="472"/>
      <c r="P160" s="472"/>
      <c r="Q160" s="472"/>
      <c r="R160" s="472"/>
      <c r="S160" s="472"/>
      <c r="T160" s="472"/>
      <c r="U160" s="472"/>
      <c r="V160" s="472"/>
      <c r="W160" s="472"/>
      <c r="X160" s="472"/>
      <c r="Y160" s="472"/>
      <c r="Z160" s="472"/>
      <c r="AA160" s="472"/>
      <c r="AB160" s="472"/>
      <c r="AC160" s="472"/>
      <c r="AD160" s="472"/>
      <c r="AE160" s="472"/>
    </row>
    <row r="161" spans="2:31">
      <c r="B161" s="472"/>
      <c r="C161" s="472"/>
      <c r="D161" s="472"/>
      <c r="E161" s="472"/>
      <c r="F161" s="472"/>
      <c r="G161" s="472"/>
      <c r="H161" s="472"/>
      <c r="I161" s="472"/>
      <c r="J161" s="472"/>
      <c r="K161" s="472"/>
      <c r="L161" s="472"/>
      <c r="M161" s="472"/>
      <c r="N161" s="472"/>
      <c r="O161" s="472"/>
      <c r="P161" s="472"/>
      <c r="Q161" s="472"/>
      <c r="R161" s="472"/>
      <c r="S161" s="472"/>
      <c r="T161" s="472"/>
      <c r="U161" s="472"/>
      <c r="V161" s="472"/>
      <c r="W161" s="472"/>
      <c r="X161" s="472"/>
      <c r="Y161" s="472"/>
      <c r="Z161" s="472"/>
      <c r="AA161" s="472"/>
      <c r="AB161" s="472"/>
      <c r="AC161" s="472"/>
      <c r="AD161" s="472"/>
      <c r="AE161" s="472"/>
    </row>
    <row r="162" spans="2:31">
      <c r="B162" s="472"/>
      <c r="C162" s="472"/>
      <c r="D162" s="472"/>
      <c r="E162" s="472"/>
      <c r="F162" s="472"/>
      <c r="G162" s="472"/>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row>
    <row r="163" spans="2:31">
      <c r="B163" s="472"/>
      <c r="C163" s="472"/>
      <c r="D163" s="472"/>
      <c r="E163" s="472"/>
      <c r="F163" s="472"/>
      <c r="G163" s="472"/>
      <c r="H163" s="472"/>
      <c r="I163" s="472"/>
      <c r="J163" s="472"/>
      <c r="K163" s="472"/>
      <c r="L163" s="472"/>
      <c r="M163" s="472"/>
      <c r="N163" s="472"/>
      <c r="O163" s="472"/>
      <c r="P163" s="472"/>
      <c r="Q163" s="472"/>
      <c r="R163" s="472"/>
      <c r="S163" s="472"/>
      <c r="T163" s="472"/>
      <c r="U163" s="472"/>
      <c r="V163" s="472"/>
      <c r="W163" s="472"/>
      <c r="X163" s="472"/>
      <c r="Y163" s="472"/>
      <c r="Z163" s="472"/>
      <c r="AA163" s="472"/>
      <c r="AB163" s="472"/>
      <c r="AC163" s="472"/>
      <c r="AD163" s="472"/>
      <c r="AE163" s="472"/>
    </row>
    <row r="164" spans="2:31">
      <c r="B164" s="472"/>
      <c r="C164" s="472"/>
      <c r="D164" s="472"/>
      <c r="E164" s="472"/>
      <c r="F164" s="472"/>
      <c r="G164" s="472"/>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row>
    <row r="165" spans="2:31">
      <c r="B165" s="472"/>
      <c r="C165" s="472"/>
      <c r="D165" s="472"/>
      <c r="E165" s="472"/>
      <c r="F165" s="472"/>
      <c r="G165" s="472"/>
      <c r="H165" s="472"/>
      <c r="I165" s="472"/>
      <c r="J165" s="472"/>
      <c r="K165" s="472"/>
      <c r="L165" s="472"/>
      <c r="M165" s="472"/>
      <c r="N165" s="472"/>
      <c r="O165" s="472"/>
      <c r="P165" s="472"/>
      <c r="Q165" s="472"/>
      <c r="R165" s="472"/>
      <c r="S165" s="472"/>
      <c r="T165" s="472"/>
      <c r="U165" s="472"/>
      <c r="V165" s="472"/>
      <c r="W165" s="472"/>
      <c r="X165" s="472"/>
      <c r="Y165" s="472"/>
      <c r="Z165" s="472"/>
      <c r="AA165" s="472"/>
      <c r="AB165" s="472"/>
      <c r="AC165" s="472"/>
      <c r="AD165" s="472"/>
      <c r="AE165" s="472"/>
    </row>
    <row r="166" spans="2:31">
      <c r="B166" s="472"/>
      <c r="C166" s="472"/>
      <c r="D166" s="472"/>
      <c r="E166" s="472"/>
      <c r="F166" s="472"/>
      <c r="G166" s="472"/>
      <c r="H166" s="472"/>
      <c r="I166" s="472"/>
      <c r="J166" s="472"/>
      <c r="K166" s="472"/>
      <c r="L166" s="472"/>
      <c r="M166" s="472"/>
      <c r="N166" s="472"/>
      <c r="O166" s="472"/>
      <c r="P166" s="472"/>
      <c r="Q166" s="472"/>
      <c r="R166" s="472"/>
      <c r="S166" s="472"/>
      <c r="T166" s="472"/>
      <c r="U166" s="472"/>
      <c r="V166" s="472"/>
      <c r="W166" s="472"/>
      <c r="X166" s="472"/>
      <c r="Y166" s="472"/>
      <c r="Z166" s="472"/>
      <c r="AA166" s="472"/>
      <c r="AB166" s="472"/>
      <c r="AC166" s="472"/>
      <c r="AD166" s="472"/>
      <c r="AE166" s="472"/>
    </row>
    <row r="167" spans="2:31">
      <c r="B167" s="472"/>
      <c r="C167" s="472"/>
      <c r="D167" s="472"/>
      <c r="E167" s="472"/>
      <c r="F167" s="472"/>
      <c r="G167" s="472"/>
      <c r="H167" s="472"/>
      <c r="I167" s="472"/>
      <c r="J167" s="472"/>
      <c r="K167" s="472"/>
      <c r="L167" s="472"/>
      <c r="M167" s="472"/>
      <c r="N167" s="472"/>
      <c r="O167" s="472"/>
      <c r="P167" s="472"/>
      <c r="Q167" s="472"/>
      <c r="R167" s="472"/>
      <c r="S167" s="472"/>
      <c r="T167" s="472"/>
      <c r="U167" s="472"/>
      <c r="V167" s="472"/>
      <c r="W167" s="472"/>
      <c r="X167" s="472"/>
      <c r="Y167" s="472"/>
      <c r="Z167" s="472"/>
      <c r="AA167" s="472"/>
      <c r="AB167" s="472"/>
      <c r="AC167" s="472"/>
      <c r="AD167" s="472"/>
      <c r="AE167" s="472"/>
    </row>
    <row r="168" spans="2:31">
      <c r="B168" s="472"/>
      <c r="C168" s="472"/>
      <c r="D168" s="472"/>
      <c r="E168" s="472"/>
      <c r="F168" s="472"/>
      <c r="G168" s="472"/>
      <c r="H168" s="472"/>
      <c r="I168" s="472"/>
      <c r="J168" s="472"/>
      <c r="K168" s="472"/>
      <c r="L168" s="472"/>
      <c r="M168" s="472"/>
      <c r="N168" s="472"/>
      <c r="O168" s="472"/>
      <c r="P168" s="472"/>
      <c r="Q168" s="472"/>
      <c r="R168" s="472"/>
      <c r="S168" s="472"/>
      <c r="T168" s="472"/>
      <c r="U168" s="472"/>
      <c r="V168" s="472"/>
      <c r="W168" s="472"/>
      <c r="X168" s="472"/>
      <c r="Y168" s="472"/>
      <c r="Z168" s="472"/>
      <c r="AA168" s="472"/>
      <c r="AB168" s="472"/>
      <c r="AC168" s="472"/>
      <c r="AD168" s="472"/>
      <c r="AE168" s="472"/>
    </row>
    <row r="169" spans="2:31">
      <c r="B169" s="472"/>
      <c r="C169" s="472"/>
      <c r="D169" s="472"/>
      <c r="E169" s="472"/>
      <c r="F169" s="472"/>
      <c r="G169" s="472"/>
      <c r="H169" s="472"/>
      <c r="I169" s="472"/>
      <c r="J169" s="472"/>
      <c r="K169" s="472"/>
      <c r="L169" s="472"/>
      <c r="M169" s="472"/>
      <c r="N169" s="472"/>
      <c r="O169" s="472"/>
      <c r="P169" s="472"/>
      <c r="Q169" s="472"/>
      <c r="R169" s="472"/>
      <c r="S169" s="472"/>
      <c r="T169" s="472"/>
      <c r="U169" s="472"/>
      <c r="V169" s="472"/>
      <c r="W169" s="472"/>
      <c r="X169" s="472"/>
      <c r="Y169" s="472"/>
      <c r="Z169" s="472"/>
      <c r="AA169" s="472"/>
      <c r="AB169" s="472"/>
      <c r="AC169" s="472"/>
      <c r="AD169" s="472"/>
      <c r="AE169" s="472"/>
    </row>
    <row r="170" spans="2:31">
      <c r="B170" s="472"/>
      <c r="C170" s="472"/>
      <c r="D170" s="472"/>
      <c r="E170" s="472"/>
      <c r="F170" s="472"/>
      <c r="G170" s="472"/>
      <c r="H170" s="472"/>
      <c r="I170" s="472"/>
      <c r="J170" s="472"/>
      <c r="K170" s="472"/>
      <c r="L170" s="472"/>
      <c r="M170" s="472"/>
      <c r="N170" s="472"/>
      <c r="O170" s="472"/>
      <c r="P170" s="472"/>
      <c r="Q170" s="472"/>
      <c r="R170" s="472"/>
      <c r="S170" s="472"/>
      <c r="T170" s="472"/>
      <c r="U170" s="472"/>
      <c r="V170" s="472"/>
      <c r="W170" s="472"/>
      <c r="X170" s="472"/>
      <c r="Y170" s="472"/>
      <c r="Z170" s="472"/>
      <c r="AA170" s="472"/>
      <c r="AB170" s="472"/>
      <c r="AC170" s="472"/>
      <c r="AD170" s="472"/>
      <c r="AE170" s="472"/>
    </row>
    <row r="171" spans="2:31">
      <c r="B171" s="472"/>
      <c r="C171" s="472"/>
      <c r="D171" s="472"/>
      <c r="E171" s="472"/>
      <c r="F171" s="472"/>
      <c r="G171" s="472"/>
      <c r="H171" s="472"/>
      <c r="I171" s="472"/>
      <c r="J171" s="472"/>
      <c r="K171" s="472"/>
      <c r="L171" s="472"/>
      <c r="M171" s="472"/>
      <c r="N171" s="472"/>
      <c r="O171" s="472"/>
      <c r="P171" s="472"/>
      <c r="Q171" s="472"/>
      <c r="R171" s="472"/>
      <c r="S171" s="472"/>
      <c r="T171" s="472"/>
      <c r="U171" s="472"/>
      <c r="V171" s="472"/>
      <c r="W171" s="472"/>
      <c r="X171" s="472"/>
      <c r="Y171" s="472"/>
      <c r="Z171" s="472"/>
      <c r="AA171" s="472"/>
      <c r="AB171" s="472"/>
      <c r="AC171" s="472"/>
      <c r="AD171" s="472"/>
      <c r="AE171" s="472"/>
    </row>
    <row r="172" spans="2:31">
      <c r="B172" s="472"/>
      <c r="C172" s="472"/>
      <c r="D172" s="472"/>
      <c r="E172" s="472"/>
      <c r="F172" s="472"/>
      <c r="G172" s="472"/>
      <c r="H172" s="472"/>
      <c r="I172" s="472"/>
      <c r="J172" s="472"/>
      <c r="K172" s="472"/>
      <c r="L172" s="472"/>
      <c r="M172" s="472"/>
      <c r="N172" s="472"/>
      <c r="O172" s="472"/>
      <c r="P172" s="472"/>
      <c r="Q172" s="472"/>
      <c r="R172" s="472"/>
      <c r="S172" s="472"/>
      <c r="T172" s="472"/>
      <c r="U172" s="472"/>
      <c r="V172" s="472"/>
      <c r="W172" s="472"/>
      <c r="X172" s="472"/>
      <c r="Y172" s="472"/>
      <c r="Z172" s="472"/>
      <c r="AA172" s="472"/>
      <c r="AB172" s="472"/>
      <c r="AC172" s="472"/>
      <c r="AD172" s="472"/>
      <c r="AE172" s="472"/>
    </row>
    <row r="173" spans="2:31">
      <c r="B173" s="472"/>
      <c r="C173" s="472"/>
      <c r="D173" s="472"/>
      <c r="E173" s="472"/>
      <c r="F173" s="472"/>
      <c r="G173" s="472"/>
      <c r="H173" s="472"/>
      <c r="I173" s="472"/>
      <c r="J173" s="472"/>
      <c r="K173" s="472"/>
      <c r="L173" s="472"/>
      <c r="M173" s="472"/>
      <c r="N173" s="472"/>
      <c r="O173" s="472"/>
      <c r="P173" s="472"/>
      <c r="Q173" s="472"/>
      <c r="R173" s="472"/>
      <c r="S173" s="472"/>
      <c r="T173" s="472"/>
      <c r="U173" s="472"/>
      <c r="V173" s="472"/>
      <c r="W173" s="472"/>
      <c r="X173" s="472"/>
      <c r="Y173" s="472"/>
      <c r="Z173" s="472"/>
      <c r="AA173" s="472"/>
      <c r="AB173" s="472"/>
      <c r="AC173" s="472"/>
      <c r="AD173" s="472"/>
      <c r="AE173" s="472"/>
    </row>
    <row r="174" spans="2:31">
      <c r="B174" s="472"/>
      <c r="C174" s="472"/>
      <c r="D174" s="472"/>
      <c r="E174" s="472"/>
      <c r="F174" s="472"/>
      <c r="G174" s="472"/>
      <c r="H174" s="472"/>
      <c r="I174" s="472"/>
      <c r="J174" s="472"/>
      <c r="K174" s="472"/>
      <c r="L174" s="472"/>
      <c r="M174" s="472"/>
      <c r="N174" s="472"/>
      <c r="O174" s="472"/>
      <c r="P174" s="472"/>
      <c r="Q174" s="472"/>
      <c r="R174" s="472"/>
      <c r="S174" s="472"/>
      <c r="T174" s="472"/>
      <c r="U174" s="472"/>
      <c r="V174" s="472"/>
      <c r="W174" s="472"/>
      <c r="X174" s="472"/>
      <c r="Y174" s="472"/>
      <c r="Z174" s="472"/>
      <c r="AA174" s="472"/>
      <c r="AB174" s="472"/>
      <c r="AC174" s="472"/>
      <c r="AD174" s="472"/>
      <c r="AE174" s="472"/>
    </row>
    <row r="175" spans="2:31">
      <c r="B175" s="472"/>
      <c r="C175" s="472"/>
      <c r="D175" s="472"/>
      <c r="E175" s="472"/>
      <c r="F175" s="472"/>
      <c r="G175" s="472"/>
      <c r="H175" s="472"/>
      <c r="I175" s="472"/>
      <c r="J175" s="472"/>
      <c r="K175" s="472"/>
      <c r="L175" s="472"/>
      <c r="M175" s="472"/>
      <c r="N175" s="472"/>
      <c r="O175" s="472"/>
      <c r="P175" s="472"/>
      <c r="Q175" s="472"/>
      <c r="R175" s="472"/>
      <c r="S175" s="472"/>
      <c r="T175" s="472"/>
      <c r="U175" s="472"/>
      <c r="V175" s="472"/>
      <c r="W175" s="472"/>
      <c r="X175" s="472"/>
      <c r="Y175" s="472"/>
      <c r="Z175" s="472"/>
      <c r="AA175" s="472"/>
      <c r="AB175" s="472"/>
      <c r="AC175" s="472"/>
      <c r="AD175" s="472"/>
      <c r="AE175" s="472"/>
    </row>
    <row r="176" spans="2:31">
      <c r="B176" s="472"/>
      <c r="C176" s="472"/>
      <c r="D176" s="472"/>
      <c r="E176" s="472"/>
      <c r="F176" s="472"/>
      <c r="G176" s="472"/>
      <c r="H176" s="472"/>
      <c r="I176" s="472"/>
      <c r="J176" s="472"/>
      <c r="K176" s="472"/>
      <c r="L176" s="472"/>
      <c r="M176" s="472"/>
      <c r="N176" s="472"/>
      <c r="O176" s="472"/>
      <c r="P176" s="472"/>
      <c r="Q176" s="472"/>
      <c r="R176" s="472"/>
      <c r="S176" s="472"/>
      <c r="T176" s="472"/>
      <c r="U176" s="472"/>
      <c r="V176" s="472"/>
      <c r="W176" s="472"/>
      <c r="X176" s="472"/>
      <c r="Y176" s="472"/>
      <c r="Z176" s="472"/>
      <c r="AA176" s="472"/>
      <c r="AB176" s="472"/>
      <c r="AC176" s="472"/>
      <c r="AD176" s="472"/>
      <c r="AE176" s="472"/>
    </row>
    <row r="177" spans="2:31">
      <c r="B177" s="472"/>
      <c r="C177" s="472"/>
      <c r="D177" s="472"/>
      <c r="E177" s="472"/>
      <c r="F177" s="472"/>
      <c r="G177" s="472"/>
      <c r="H177" s="472"/>
      <c r="I177" s="472"/>
      <c r="J177" s="472"/>
      <c r="K177" s="472"/>
      <c r="L177" s="472"/>
      <c r="M177" s="472"/>
      <c r="N177" s="472"/>
      <c r="O177" s="472"/>
      <c r="P177" s="472"/>
      <c r="Q177" s="472"/>
      <c r="R177" s="472"/>
      <c r="S177" s="472"/>
      <c r="T177" s="472"/>
      <c r="U177" s="472"/>
      <c r="V177" s="472"/>
      <c r="W177" s="472"/>
      <c r="X177" s="472"/>
      <c r="Y177" s="472"/>
      <c r="Z177" s="472"/>
      <c r="AA177" s="472"/>
      <c r="AB177" s="472"/>
      <c r="AC177" s="472"/>
      <c r="AD177" s="472"/>
      <c r="AE177" s="472"/>
    </row>
    <row r="178" spans="2:31">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row>
    <row r="179" spans="2:31">
      <c r="B179" s="472"/>
      <c r="C179" s="472"/>
      <c r="D179" s="472"/>
      <c r="E179" s="472"/>
      <c r="F179" s="472"/>
      <c r="G179" s="472"/>
      <c r="H179" s="472"/>
      <c r="I179" s="472"/>
      <c r="J179" s="472"/>
      <c r="K179" s="472"/>
      <c r="L179" s="472"/>
      <c r="M179" s="472"/>
      <c r="N179" s="472"/>
      <c r="O179" s="472"/>
      <c r="P179" s="472"/>
      <c r="Q179" s="472"/>
      <c r="R179" s="472"/>
      <c r="S179" s="472"/>
      <c r="T179" s="472"/>
      <c r="U179" s="472"/>
      <c r="V179" s="472"/>
      <c r="W179" s="472"/>
      <c r="X179" s="472"/>
      <c r="Y179" s="472"/>
      <c r="Z179" s="472"/>
      <c r="AA179" s="472"/>
      <c r="AB179" s="472"/>
      <c r="AC179" s="472"/>
      <c r="AD179" s="472"/>
      <c r="AE179" s="472"/>
    </row>
    <row r="180" spans="2:31">
      <c r="B180" s="472"/>
      <c r="C180" s="472"/>
      <c r="D180" s="472"/>
      <c r="E180" s="472"/>
      <c r="F180" s="472"/>
      <c r="G180" s="472"/>
      <c r="H180" s="472"/>
      <c r="I180" s="472"/>
      <c r="J180" s="472"/>
      <c r="K180" s="472"/>
      <c r="L180" s="472"/>
      <c r="M180" s="472"/>
      <c r="N180" s="472"/>
      <c r="O180" s="472"/>
      <c r="P180" s="472"/>
      <c r="Q180" s="472"/>
      <c r="R180" s="472"/>
      <c r="S180" s="472"/>
      <c r="T180" s="472"/>
      <c r="U180" s="472"/>
      <c r="V180" s="472"/>
      <c r="W180" s="472"/>
      <c r="X180" s="472"/>
      <c r="Y180" s="472"/>
      <c r="Z180" s="472"/>
      <c r="AA180" s="472"/>
      <c r="AB180" s="472"/>
      <c r="AC180" s="472"/>
      <c r="AD180" s="472"/>
      <c r="AE180" s="472"/>
    </row>
    <row r="181" spans="2:31">
      <c r="B181" s="472"/>
      <c r="C181" s="472"/>
      <c r="D181" s="472"/>
      <c r="E181" s="472"/>
      <c r="F181" s="472"/>
      <c r="G181" s="472"/>
      <c r="H181" s="472"/>
      <c r="I181" s="472"/>
      <c r="J181" s="472"/>
      <c r="K181" s="472"/>
      <c r="L181" s="472"/>
      <c r="M181" s="472"/>
      <c r="N181" s="472"/>
      <c r="O181" s="472"/>
      <c r="P181" s="472"/>
      <c r="Q181" s="472"/>
      <c r="R181" s="472"/>
      <c r="S181" s="472"/>
      <c r="T181" s="472"/>
      <c r="U181" s="472"/>
      <c r="V181" s="472"/>
      <c r="W181" s="472"/>
      <c r="X181" s="472"/>
      <c r="Y181" s="472"/>
      <c r="Z181" s="472"/>
      <c r="AA181" s="472"/>
      <c r="AB181" s="472"/>
      <c r="AC181" s="472"/>
      <c r="AD181" s="472"/>
      <c r="AE181" s="472"/>
    </row>
    <row r="182" spans="2:31">
      <c r="B182" s="472"/>
      <c r="C182" s="472"/>
      <c r="D182" s="472"/>
      <c r="E182" s="472"/>
      <c r="F182" s="472"/>
      <c r="G182" s="472"/>
      <c r="H182" s="472"/>
      <c r="I182" s="472"/>
      <c r="J182" s="472"/>
      <c r="K182" s="472"/>
      <c r="L182" s="472"/>
      <c r="M182" s="472"/>
      <c r="N182" s="472"/>
      <c r="O182" s="472"/>
      <c r="P182" s="472"/>
      <c r="Q182" s="472"/>
      <c r="R182" s="472"/>
      <c r="S182" s="472"/>
      <c r="T182" s="472"/>
      <c r="U182" s="472"/>
      <c r="V182" s="472"/>
      <c r="W182" s="472"/>
      <c r="X182" s="472"/>
      <c r="Y182" s="472"/>
      <c r="Z182" s="472"/>
      <c r="AA182" s="472"/>
      <c r="AB182" s="472"/>
      <c r="AC182" s="472"/>
      <c r="AD182" s="472"/>
      <c r="AE182" s="472"/>
    </row>
    <row r="183" spans="2:31">
      <c r="B183" s="472"/>
      <c r="C183" s="472"/>
      <c r="D183" s="472"/>
      <c r="E183" s="472"/>
      <c r="F183" s="472"/>
      <c r="G183" s="472"/>
      <c r="H183" s="472"/>
      <c r="I183" s="472"/>
      <c r="J183" s="472"/>
      <c r="K183" s="472"/>
      <c r="L183" s="472"/>
      <c r="M183" s="472"/>
      <c r="N183" s="472"/>
      <c r="O183" s="472"/>
      <c r="P183" s="472"/>
      <c r="Q183" s="472"/>
      <c r="R183" s="472"/>
      <c r="S183" s="472"/>
      <c r="T183" s="472"/>
      <c r="U183" s="472"/>
      <c r="V183" s="472"/>
      <c r="W183" s="472"/>
      <c r="X183" s="472"/>
      <c r="Y183" s="472"/>
      <c r="Z183" s="472"/>
      <c r="AA183" s="472"/>
      <c r="AB183" s="472"/>
      <c r="AC183" s="472"/>
      <c r="AD183" s="472"/>
      <c r="AE183" s="472"/>
    </row>
    <row r="184" spans="2:31">
      <c r="B184" s="472"/>
      <c r="C184" s="472"/>
      <c r="D184" s="472"/>
      <c r="E184" s="472"/>
      <c r="F184" s="472"/>
      <c r="G184" s="472"/>
      <c r="H184" s="472"/>
      <c r="I184" s="472"/>
      <c r="J184" s="472"/>
      <c r="K184" s="472"/>
      <c r="L184" s="472"/>
      <c r="M184" s="472"/>
      <c r="N184" s="472"/>
      <c r="O184" s="472"/>
      <c r="P184" s="472"/>
      <c r="Q184" s="472"/>
      <c r="R184" s="472"/>
      <c r="S184" s="472"/>
      <c r="T184" s="472"/>
      <c r="U184" s="472"/>
      <c r="V184" s="472"/>
      <c r="W184" s="472"/>
      <c r="X184" s="472"/>
      <c r="Y184" s="472"/>
      <c r="Z184" s="472"/>
      <c r="AA184" s="472"/>
      <c r="AB184" s="472"/>
      <c r="AC184" s="472"/>
      <c r="AD184" s="472"/>
      <c r="AE184" s="472"/>
    </row>
    <row r="185" spans="2:31">
      <c r="B185" s="472"/>
      <c r="C185" s="472"/>
      <c r="D185" s="472"/>
      <c r="E185" s="472"/>
      <c r="F185" s="472"/>
      <c r="G185" s="472"/>
      <c r="H185" s="472"/>
      <c r="I185" s="472"/>
      <c r="J185" s="472"/>
      <c r="K185" s="472"/>
      <c r="L185" s="472"/>
      <c r="M185" s="472"/>
      <c r="N185" s="472"/>
      <c r="O185" s="472"/>
      <c r="P185" s="472"/>
      <c r="Q185" s="472"/>
      <c r="R185" s="472"/>
      <c r="S185" s="472"/>
      <c r="T185" s="472"/>
      <c r="U185" s="472"/>
      <c r="V185" s="472"/>
      <c r="W185" s="472"/>
      <c r="X185" s="472"/>
      <c r="Y185" s="472"/>
      <c r="Z185" s="472"/>
      <c r="AA185" s="472"/>
      <c r="AB185" s="472"/>
      <c r="AC185" s="472"/>
      <c r="AD185" s="472"/>
      <c r="AE185" s="472"/>
    </row>
    <row r="186" spans="2:31">
      <c r="B186" s="472"/>
      <c r="C186" s="472"/>
      <c r="D186" s="472"/>
      <c r="E186" s="472"/>
      <c r="F186" s="472"/>
      <c r="G186" s="472"/>
      <c r="H186" s="472"/>
      <c r="I186" s="472"/>
      <c r="J186" s="472"/>
      <c r="K186" s="472"/>
      <c r="L186" s="472"/>
      <c r="M186" s="472"/>
      <c r="N186" s="472"/>
      <c r="O186" s="472"/>
      <c r="P186" s="472"/>
      <c r="Q186" s="472"/>
      <c r="R186" s="472"/>
      <c r="S186" s="472"/>
      <c r="T186" s="472"/>
      <c r="U186" s="472"/>
      <c r="V186" s="472"/>
      <c r="W186" s="472"/>
      <c r="X186" s="472"/>
      <c r="Y186" s="472"/>
      <c r="Z186" s="472"/>
      <c r="AA186" s="472"/>
      <c r="AB186" s="472"/>
      <c r="AC186" s="472"/>
      <c r="AD186" s="472"/>
      <c r="AE186" s="472"/>
    </row>
    <row r="187" spans="2:31">
      <c r="B187" s="472"/>
      <c r="C187" s="472"/>
      <c r="D187" s="472"/>
      <c r="E187" s="472"/>
      <c r="F187" s="472"/>
      <c r="G187" s="472"/>
      <c r="H187" s="472"/>
      <c r="I187" s="472"/>
      <c r="J187" s="472"/>
      <c r="K187" s="472"/>
      <c r="L187" s="472"/>
      <c r="M187" s="472"/>
      <c r="N187" s="472"/>
      <c r="O187" s="472"/>
      <c r="P187" s="472"/>
      <c r="Q187" s="472"/>
      <c r="R187" s="472"/>
      <c r="S187" s="472"/>
      <c r="T187" s="472"/>
      <c r="U187" s="472"/>
      <c r="V187" s="472"/>
      <c r="W187" s="472"/>
      <c r="X187" s="472"/>
      <c r="Y187" s="472"/>
      <c r="Z187" s="472"/>
      <c r="AA187" s="472"/>
      <c r="AB187" s="472"/>
      <c r="AC187" s="472"/>
      <c r="AD187" s="472"/>
      <c r="AE187" s="472"/>
    </row>
    <row r="188" spans="2:31">
      <c r="B188" s="472"/>
      <c r="C188" s="472"/>
      <c r="D188" s="472"/>
      <c r="E188" s="472"/>
      <c r="F188" s="472"/>
      <c r="G188" s="472"/>
      <c r="H188" s="472"/>
      <c r="I188" s="472"/>
      <c r="J188" s="472"/>
      <c r="K188" s="472"/>
      <c r="L188" s="472"/>
      <c r="M188" s="472"/>
      <c r="N188" s="472"/>
      <c r="O188" s="472"/>
      <c r="P188" s="472"/>
      <c r="Q188" s="472"/>
      <c r="R188" s="472"/>
      <c r="S188" s="472"/>
      <c r="T188" s="472"/>
      <c r="U188" s="472"/>
      <c r="V188" s="472"/>
      <c r="W188" s="472"/>
      <c r="X188" s="472"/>
      <c r="Y188" s="472"/>
      <c r="Z188" s="472"/>
      <c r="AA188" s="472"/>
      <c r="AB188" s="472"/>
      <c r="AC188" s="472"/>
      <c r="AD188" s="472"/>
      <c r="AE188" s="472"/>
    </row>
    <row r="189" spans="2:31">
      <c r="B189" s="472"/>
      <c r="C189" s="472"/>
      <c r="D189" s="472"/>
      <c r="E189" s="472"/>
      <c r="F189" s="472"/>
      <c r="G189" s="472"/>
      <c r="H189" s="472"/>
      <c r="I189" s="472"/>
      <c r="J189" s="472"/>
      <c r="K189" s="472"/>
      <c r="L189" s="472"/>
      <c r="M189" s="472"/>
      <c r="N189" s="472"/>
      <c r="O189" s="472"/>
      <c r="P189" s="472"/>
      <c r="Q189" s="472"/>
      <c r="R189" s="472"/>
      <c r="S189" s="472"/>
      <c r="T189" s="472"/>
      <c r="U189" s="472"/>
      <c r="V189" s="472"/>
      <c r="W189" s="472"/>
      <c r="X189" s="472"/>
      <c r="Y189" s="472"/>
      <c r="Z189" s="472"/>
      <c r="AA189" s="472"/>
      <c r="AB189" s="472"/>
      <c r="AC189" s="472"/>
      <c r="AD189" s="472"/>
      <c r="AE189" s="472"/>
    </row>
    <row r="190" spans="2:31">
      <c r="B190" s="472"/>
      <c r="C190" s="472"/>
      <c r="D190" s="472"/>
      <c r="E190" s="472"/>
      <c r="F190" s="472"/>
      <c r="G190" s="472"/>
      <c r="H190" s="472"/>
      <c r="I190" s="472"/>
      <c r="J190" s="472"/>
      <c r="K190" s="472"/>
      <c r="L190" s="472"/>
      <c r="M190" s="472"/>
      <c r="N190" s="472"/>
      <c r="O190" s="472"/>
      <c r="P190" s="472"/>
      <c r="Q190" s="472"/>
      <c r="R190" s="472"/>
      <c r="S190" s="472"/>
      <c r="T190" s="472"/>
      <c r="U190" s="472"/>
      <c r="V190" s="472"/>
      <c r="W190" s="472"/>
      <c r="X190" s="472"/>
      <c r="Y190" s="472"/>
      <c r="Z190" s="472"/>
      <c r="AA190" s="472"/>
      <c r="AB190" s="472"/>
      <c r="AC190" s="472"/>
      <c r="AD190" s="472"/>
      <c r="AE190" s="472"/>
    </row>
    <row r="191" spans="2:31">
      <c r="B191" s="472"/>
      <c r="C191" s="472"/>
      <c r="D191" s="472"/>
      <c r="E191" s="472"/>
      <c r="F191" s="472"/>
      <c r="G191" s="472"/>
      <c r="H191" s="472"/>
      <c r="I191" s="472"/>
      <c r="J191" s="472"/>
      <c r="K191" s="472"/>
      <c r="L191" s="472"/>
      <c r="M191" s="472"/>
      <c r="N191" s="472"/>
      <c r="O191" s="472"/>
      <c r="P191" s="472"/>
      <c r="Q191" s="472"/>
      <c r="R191" s="472"/>
      <c r="S191" s="472"/>
      <c r="T191" s="472"/>
      <c r="U191" s="472"/>
      <c r="V191" s="472"/>
      <c r="W191" s="472"/>
      <c r="X191" s="472"/>
      <c r="Y191" s="472"/>
      <c r="Z191" s="472"/>
      <c r="AA191" s="472"/>
      <c r="AB191" s="472"/>
      <c r="AC191" s="472"/>
      <c r="AD191" s="472"/>
      <c r="AE191" s="472"/>
    </row>
    <row r="192" spans="2:31">
      <c r="B192" s="472"/>
      <c r="C192" s="472"/>
      <c r="D192" s="472"/>
      <c r="E192" s="472"/>
      <c r="F192" s="472"/>
      <c r="G192" s="472"/>
      <c r="H192" s="472"/>
      <c r="I192" s="472"/>
      <c r="J192" s="472"/>
      <c r="K192" s="472"/>
      <c r="L192" s="472"/>
      <c r="M192" s="472"/>
      <c r="N192" s="472"/>
      <c r="O192" s="472"/>
      <c r="P192" s="472"/>
      <c r="Q192" s="472"/>
      <c r="R192" s="472"/>
      <c r="S192" s="472"/>
      <c r="T192" s="472"/>
      <c r="U192" s="472"/>
      <c r="V192" s="472"/>
      <c r="W192" s="472"/>
      <c r="X192" s="472"/>
      <c r="Y192" s="472"/>
      <c r="Z192" s="472"/>
      <c r="AA192" s="472"/>
      <c r="AB192" s="472"/>
      <c r="AC192" s="472"/>
      <c r="AD192" s="472"/>
      <c r="AE192" s="472"/>
    </row>
    <row r="193" spans="2:31">
      <c r="B193" s="472"/>
      <c r="C193" s="472"/>
      <c r="D193" s="472"/>
      <c r="E193" s="472"/>
      <c r="F193" s="472"/>
      <c r="G193" s="472"/>
      <c r="H193" s="472"/>
      <c r="I193" s="472"/>
      <c r="J193" s="472"/>
      <c r="K193" s="472"/>
      <c r="L193" s="472"/>
      <c r="M193" s="472"/>
      <c r="N193" s="472"/>
      <c r="O193" s="472"/>
      <c r="P193" s="472"/>
      <c r="Q193" s="472"/>
      <c r="R193" s="472"/>
      <c r="S193" s="472"/>
      <c r="T193" s="472"/>
      <c r="U193" s="472"/>
      <c r="V193" s="472"/>
      <c r="W193" s="472"/>
      <c r="X193" s="472"/>
      <c r="Y193" s="472"/>
      <c r="Z193" s="472"/>
      <c r="AA193" s="472"/>
      <c r="AB193" s="472"/>
      <c r="AC193" s="472"/>
      <c r="AD193" s="472"/>
      <c r="AE193" s="472"/>
    </row>
    <row r="194" spans="2:31">
      <c r="B194" s="472"/>
      <c r="C194" s="472"/>
      <c r="D194" s="472"/>
      <c r="E194" s="472"/>
      <c r="F194" s="472"/>
      <c r="G194" s="472"/>
      <c r="H194" s="472"/>
      <c r="I194" s="472"/>
      <c r="J194" s="472"/>
      <c r="K194" s="472"/>
      <c r="L194" s="472"/>
      <c r="M194" s="472"/>
      <c r="N194" s="472"/>
      <c r="O194" s="472"/>
      <c r="P194" s="472"/>
      <c r="Q194" s="472"/>
      <c r="R194" s="472"/>
      <c r="S194" s="472"/>
      <c r="T194" s="472"/>
      <c r="U194" s="472"/>
      <c r="V194" s="472"/>
      <c r="W194" s="472"/>
      <c r="X194" s="472"/>
      <c r="Y194" s="472"/>
      <c r="Z194" s="472"/>
      <c r="AA194" s="472"/>
      <c r="AB194" s="472"/>
      <c r="AC194" s="472"/>
      <c r="AD194" s="472"/>
      <c r="AE194" s="472"/>
    </row>
    <row r="195" spans="2:31">
      <c r="B195" s="472"/>
      <c r="C195" s="472"/>
      <c r="D195" s="472"/>
      <c r="E195" s="472"/>
      <c r="F195" s="472"/>
      <c r="G195" s="472"/>
      <c r="H195" s="472"/>
      <c r="I195" s="472"/>
      <c r="J195" s="472"/>
      <c r="K195" s="472"/>
      <c r="L195" s="472"/>
      <c r="M195" s="472"/>
      <c r="N195" s="472"/>
      <c r="O195" s="472"/>
      <c r="P195" s="472"/>
      <c r="Q195" s="472"/>
      <c r="R195" s="472"/>
      <c r="S195" s="472"/>
      <c r="T195" s="472"/>
      <c r="U195" s="472"/>
      <c r="V195" s="472"/>
      <c r="W195" s="472"/>
      <c r="X195" s="472"/>
      <c r="Y195" s="472"/>
      <c r="Z195" s="472"/>
      <c r="AA195" s="472"/>
      <c r="AB195" s="472"/>
      <c r="AC195" s="472"/>
      <c r="AD195" s="472"/>
      <c r="AE195" s="472"/>
    </row>
    <row r="196" spans="2:31">
      <c r="B196" s="472"/>
      <c r="C196" s="472"/>
      <c r="D196" s="472"/>
      <c r="E196" s="472"/>
      <c r="F196" s="472"/>
      <c r="G196" s="472"/>
      <c r="H196" s="472"/>
      <c r="I196" s="472"/>
      <c r="J196" s="472"/>
      <c r="K196" s="472"/>
      <c r="L196" s="472"/>
      <c r="M196" s="472"/>
      <c r="N196" s="472"/>
      <c r="O196" s="472"/>
      <c r="P196" s="472"/>
      <c r="Q196" s="472"/>
      <c r="R196" s="472"/>
      <c r="S196" s="472"/>
      <c r="T196" s="472"/>
      <c r="U196" s="472"/>
      <c r="V196" s="472"/>
      <c r="W196" s="472"/>
      <c r="X196" s="472"/>
      <c r="Y196" s="472"/>
      <c r="Z196" s="472"/>
      <c r="AA196" s="472"/>
      <c r="AB196" s="472"/>
      <c r="AC196" s="472"/>
      <c r="AD196" s="472"/>
      <c r="AE196" s="472"/>
    </row>
    <row r="197" spans="2:31">
      <c r="B197" s="472"/>
      <c r="C197" s="472"/>
      <c r="D197" s="472"/>
      <c r="E197" s="472"/>
      <c r="F197" s="472"/>
      <c r="G197" s="472"/>
      <c r="H197" s="472"/>
      <c r="I197" s="472"/>
      <c r="J197" s="472"/>
      <c r="K197" s="472"/>
      <c r="L197" s="472"/>
      <c r="M197" s="472"/>
      <c r="N197" s="472"/>
      <c r="O197" s="472"/>
      <c r="P197" s="472"/>
      <c r="Q197" s="472"/>
      <c r="R197" s="472"/>
      <c r="S197" s="472"/>
      <c r="T197" s="472"/>
      <c r="U197" s="472"/>
      <c r="V197" s="472"/>
      <c r="W197" s="472"/>
      <c r="X197" s="472"/>
      <c r="Y197" s="472"/>
      <c r="Z197" s="472"/>
      <c r="AA197" s="472"/>
      <c r="AB197" s="472"/>
      <c r="AC197" s="472"/>
      <c r="AD197" s="472"/>
      <c r="AE197" s="472"/>
    </row>
    <row r="198" spans="2:31">
      <c r="B198" s="472"/>
      <c r="C198" s="472"/>
      <c r="D198" s="472"/>
      <c r="E198" s="472"/>
      <c r="F198" s="472"/>
      <c r="G198" s="472"/>
      <c r="H198" s="472"/>
      <c r="I198" s="472"/>
      <c r="J198" s="472"/>
      <c r="K198" s="472"/>
      <c r="L198" s="472"/>
      <c r="M198" s="472"/>
      <c r="N198" s="472"/>
      <c r="O198" s="472"/>
      <c r="P198" s="472"/>
      <c r="Q198" s="472"/>
      <c r="R198" s="472"/>
      <c r="S198" s="472"/>
      <c r="T198" s="472"/>
      <c r="U198" s="472"/>
      <c r="V198" s="472"/>
      <c r="W198" s="472"/>
      <c r="X198" s="472"/>
      <c r="Y198" s="472"/>
      <c r="Z198" s="472"/>
      <c r="AA198" s="472"/>
      <c r="AB198" s="472"/>
      <c r="AC198" s="472"/>
      <c r="AD198" s="472"/>
      <c r="AE198" s="472"/>
    </row>
    <row r="199" spans="2:31">
      <c r="B199" s="472"/>
      <c r="C199" s="472"/>
      <c r="D199" s="472"/>
      <c r="E199" s="472"/>
      <c r="F199" s="472"/>
      <c r="G199" s="472"/>
      <c r="H199" s="472"/>
      <c r="I199" s="472"/>
      <c r="J199" s="472"/>
      <c r="K199" s="472"/>
      <c r="L199" s="472"/>
      <c r="M199" s="472"/>
      <c r="N199" s="472"/>
      <c r="O199" s="472"/>
      <c r="P199" s="472"/>
      <c r="Q199" s="472"/>
      <c r="R199" s="472"/>
      <c r="S199" s="472"/>
      <c r="T199" s="472"/>
      <c r="U199" s="472"/>
      <c r="V199" s="472"/>
      <c r="W199" s="472"/>
      <c r="X199" s="472"/>
      <c r="Y199" s="472"/>
      <c r="Z199" s="472"/>
      <c r="AA199" s="472"/>
      <c r="AB199" s="472"/>
      <c r="AC199" s="472"/>
      <c r="AD199" s="472"/>
      <c r="AE199" s="472"/>
    </row>
    <row r="200" spans="2:31">
      <c r="B200" s="472"/>
      <c r="C200" s="472"/>
      <c r="D200" s="472"/>
      <c r="E200" s="472"/>
      <c r="F200" s="472"/>
      <c r="G200" s="472"/>
      <c r="H200" s="472"/>
      <c r="I200" s="472"/>
      <c r="J200" s="472"/>
      <c r="K200" s="472"/>
      <c r="L200" s="472"/>
      <c r="M200" s="472"/>
      <c r="N200" s="472"/>
      <c r="O200" s="472"/>
      <c r="P200" s="472"/>
      <c r="Q200" s="472"/>
      <c r="R200" s="472"/>
      <c r="S200" s="472"/>
      <c r="T200" s="472"/>
      <c r="U200" s="472"/>
      <c r="V200" s="472"/>
      <c r="W200" s="472"/>
      <c r="X200" s="472"/>
      <c r="Y200" s="472"/>
      <c r="Z200" s="472"/>
      <c r="AA200" s="472"/>
      <c r="AB200" s="472"/>
      <c r="AC200" s="472"/>
      <c r="AD200" s="472"/>
      <c r="AE200" s="472"/>
    </row>
    <row r="201" spans="2:31">
      <c r="B201" s="472"/>
      <c r="C201" s="472"/>
      <c r="D201" s="472"/>
      <c r="E201" s="472"/>
      <c r="F201" s="472"/>
      <c r="G201" s="472"/>
      <c r="H201" s="472"/>
      <c r="I201" s="472"/>
      <c r="J201" s="472"/>
      <c r="K201" s="472"/>
      <c r="L201" s="472"/>
      <c r="M201" s="472"/>
      <c r="N201" s="472"/>
      <c r="O201" s="472"/>
      <c r="P201" s="472"/>
      <c r="Q201" s="472"/>
      <c r="R201" s="472"/>
      <c r="S201" s="472"/>
      <c r="T201" s="472"/>
      <c r="U201" s="472"/>
      <c r="V201" s="472"/>
      <c r="W201" s="472"/>
      <c r="X201" s="472"/>
      <c r="Y201" s="472"/>
      <c r="Z201" s="472"/>
      <c r="AA201" s="472"/>
      <c r="AB201" s="472"/>
      <c r="AC201" s="472"/>
      <c r="AD201" s="472"/>
      <c r="AE201" s="472"/>
    </row>
    <row r="202" spans="2:31">
      <c r="B202" s="472"/>
      <c r="C202" s="472"/>
      <c r="D202" s="472"/>
      <c r="E202" s="472"/>
      <c r="F202" s="472"/>
      <c r="G202" s="472"/>
      <c r="H202" s="472"/>
      <c r="I202" s="472"/>
      <c r="J202" s="472"/>
      <c r="K202" s="472"/>
      <c r="L202" s="472"/>
      <c r="M202" s="472"/>
      <c r="N202" s="472"/>
      <c r="O202" s="472"/>
      <c r="P202" s="472"/>
      <c r="Q202" s="472"/>
      <c r="R202" s="472"/>
      <c r="S202" s="472"/>
      <c r="T202" s="472"/>
      <c r="U202" s="472"/>
      <c r="V202" s="472"/>
      <c r="W202" s="472"/>
      <c r="X202" s="472"/>
      <c r="Y202" s="472"/>
      <c r="Z202" s="472"/>
      <c r="AA202" s="472"/>
      <c r="AB202" s="472"/>
      <c r="AC202" s="472"/>
      <c r="AD202" s="472"/>
      <c r="AE202" s="472"/>
    </row>
    <row r="203" spans="2:31">
      <c r="B203" s="472"/>
      <c r="C203" s="472"/>
      <c r="D203" s="472"/>
      <c r="E203" s="472"/>
      <c r="F203" s="472"/>
      <c r="G203" s="472"/>
      <c r="H203" s="472"/>
      <c r="I203" s="472"/>
      <c r="J203" s="472"/>
      <c r="K203" s="472"/>
      <c r="L203" s="472"/>
      <c r="M203" s="472"/>
      <c r="N203" s="472"/>
      <c r="O203" s="472"/>
      <c r="P203" s="472"/>
      <c r="Q203" s="472"/>
      <c r="R203" s="472"/>
      <c r="S203" s="472"/>
      <c r="T203" s="472"/>
      <c r="U203" s="472"/>
      <c r="V203" s="472"/>
      <c r="W203" s="472"/>
      <c r="X203" s="472"/>
      <c r="Y203" s="472"/>
      <c r="Z203" s="472"/>
      <c r="AA203" s="472"/>
      <c r="AB203" s="472"/>
      <c r="AC203" s="472"/>
      <c r="AD203" s="472"/>
      <c r="AE203" s="472"/>
    </row>
    <row r="204" spans="2:31">
      <c r="B204" s="472"/>
      <c r="C204" s="472"/>
      <c r="D204" s="472"/>
      <c r="E204" s="472"/>
      <c r="F204" s="472"/>
      <c r="G204" s="472"/>
      <c r="H204" s="472"/>
      <c r="I204" s="472"/>
      <c r="J204" s="472"/>
      <c r="K204" s="472"/>
      <c r="L204" s="472"/>
      <c r="M204" s="472"/>
      <c r="N204" s="472"/>
      <c r="O204" s="472"/>
      <c r="P204" s="472"/>
      <c r="Q204" s="472"/>
      <c r="R204" s="472"/>
      <c r="S204" s="472"/>
      <c r="T204" s="472"/>
      <c r="U204" s="472"/>
      <c r="V204" s="472"/>
      <c r="W204" s="472"/>
      <c r="X204" s="472"/>
      <c r="Y204" s="472"/>
      <c r="Z204" s="472"/>
      <c r="AA204" s="472"/>
      <c r="AB204" s="472"/>
      <c r="AC204" s="472"/>
      <c r="AD204" s="472"/>
      <c r="AE204" s="472"/>
    </row>
    <row r="205" spans="2:31">
      <c r="B205" s="472"/>
      <c r="C205" s="472"/>
      <c r="D205" s="472"/>
      <c r="E205" s="472"/>
      <c r="F205" s="472"/>
      <c r="G205" s="472"/>
      <c r="H205" s="472"/>
      <c r="I205" s="472"/>
      <c r="J205" s="472"/>
      <c r="K205" s="472"/>
      <c r="L205" s="472"/>
      <c r="M205" s="472"/>
      <c r="N205" s="472"/>
      <c r="O205" s="472"/>
      <c r="P205" s="472"/>
      <c r="Q205" s="472"/>
      <c r="R205" s="472"/>
      <c r="S205" s="472"/>
      <c r="T205" s="472"/>
      <c r="U205" s="472"/>
      <c r="V205" s="472"/>
      <c r="W205" s="472"/>
      <c r="X205" s="472"/>
      <c r="Y205" s="472"/>
      <c r="Z205" s="472"/>
      <c r="AA205" s="472"/>
      <c r="AB205" s="472"/>
      <c r="AC205" s="472"/>
      <c r="AD205" s="472"/>
      <c r="AE205" s="472"/>
    </row>
    <row r="206" spans="2:31">
      <c r="B206" s="472"/>
      <c r="C206" s="472"/>
      <c r="D206" s="472"/>
      <c r="E206" s="472"/>
      <c r="F206" s="472"/>
      <c r="G206" s="472"/>
      <c r="H206" s="472"/>
      <c r="I206" s="472"/>
      <c r="J206" s="472"/>
      <c r="K206" s="472"/>
      <c r="L206" s="472"/>
      <c r="M206" s="472"/>
      <c r="N206" s="472"/>
      <c r="O206" s="472"/>
      <c r="P206" s="472"/>
      <c r="Q206" s="472"/>
      <c r="R206" s="472"/>
      <c r="S206" s="472"/>
      <c r="T206" s="472"/>
      <c r="U206" s="472"/>
      <c r="V206" s="472"/>
      <c r="W206" s="472"/>
      <c r="X206" s="472"/>
      <c r="Y206" s="472"/>
      <c r="Z206" s="472"/>
      <c r="AA206" s="472"/>
      <c r="AB206" s="472"/>
      <c r="AC206" s="472"/>
      <c r="AD206" s="472"/>
      <c r="AE206" s="472"/>
    </row>
    <row r="207" spans="2:31">
      <c r="B207" s="472"/>
      <c r="C207" s="472"/>
      <c r="D207" s="472"/>
      <c r="E207" s="472"/>
      <c r="F207" s="472"/>
      <c r="G207" s="472"/>
      <c r="H207" s="472"/>
      <c r="I207" s="472"/>
      <c r="J207" s="472"/>
      <c r="K207" s="472"/>
      <c r="L207" s="472"/>
      <c r="M207" s="472"/>
      <c r="N207" s="472"/>
      <c r="O207" s="472"/>
      <c r="P207" s="472"/>
      <c r="Q207" s="472"/>
      <c r="R207" s="472"/>
      <c r="S207" s="472"/>
      <c r="T207" s="472"/>
      <c r="U207" s="472"/>
      <c r="V207" s="472"/>
      <c r="W207" s="472"/>
      <c r="X207" s="472"/>
      <c r="Y207" s="472"/>
      <c r="Z207" s="472"/>
      <c r="AA207" s="472"/>
      <c r="AB207" s="472"/>
      <c r="AC207" s="472"/>
      <c r="AD207" s="472"/>
      <c r="AE207" s="472"/>
    </row>
    <row r="208" spans="2:31">
      <c r="B208" s="472"/>
      <c r="C208" s="472"/>
      <c r="D208" s="472"/>
      <c r="E208" s="472"/>
      <c r="F208" s="472"/>
      <c r="G208" s="472"/>
      <c r="H208" s="472"/>
      <c r="I208" s="472"/>
      <c r="J208" s="472"/>
      <c r="K208" s="472"/>
      <c r="L208" s="472"/>
      <c r="M208" s="472"/>
      <c r="N208" s="472"/>
      <c r="O208" s="472"/>
      <c r="P208" s="472"/>
      <c r="Q208" s="472"/>
      <c r="R208" s="472"/>
      <c r="S208" s="472"/>
      <c r="T208" s="472"/>
      <c r="U208" s="472"/>
      <c r="V208" s="472"/>
      <c r="W208" s="472"/>
      <c r="X208" s="472"/>
      <c r="Y208" s="472"/>
      <c r="Z208" s="472"/>
      <c r="AA208" s="472"/>
      <c r="AB208" s="472"/>
      <c r="AC208" s="472"/>
      <c r="AD208" s="472"/>
      <c r="AE208" s="472"/>
    </row>
    <row r="209" spans="2:31">
      <c r="B209" s="472"/>
      <c r="C209" s="472"/>
      <c r="D209" s="472"/>
      <c r="E209" s="472"/>
      <c r="F209" s="472"/>
      <c r="G209" s="472"/>
      <c r="H209" s="472"/>
      <c r="I209" s="472"/>
      <c r="J209" s="472"/>
      <c r="K209" s="472"/>
      <c r="L209" s="472"/>
      <c r="M209" s="472"/>
      <c r="N209" s="472"/>
      <c r="O209" s="472"/>
      <c r="P209" s="472"/>
      <c r="Q209" s="472"/>
      <c r="R209" s="472"/>
      <c r="S209" s="472"/>
      <c r="T209" s="472"/>
      <c r="U209" s="472"/>
      <c r="V209" s="472"/>
      <c r="W209" s="472"/>
      <c r="X209" s="472"/>
      <c r="Y209" s="472"/>
      <c r="Z209" s="472"/>
      <c r="AA209" s="472"/>
      <c r="AB209" s="472"/>
      <c r="AC209" s="472"/>
      <c r="AD209" s="472"/>
      <c r="AE209" s="472"/>
    </row>
    <row r="210" spans="2:31">
      <c r="B210" s="472"/>
      <c r="C210" s="472"/>
      <c r="D210" s="472"/>
      <c r="E210" s="472"/>
      <c r="F210" s="472"/>
      <c r="G210" s="472"/>
      <c r="H210" s="472"/>
      <c r="I210" s="472"/>
      <c r="J210" s="472"/>
      <c r="K210" s="472"/>
      <c r="L210" s="472"/>
      <c r="M210" s="472"/>
      <c r="N210" s="472"/>
      <c r="O210" s="472"/>
      <c r="P210" s="472"/>
      <c r="Q210" s="472"/>
      <c r="R210" s="472"/>
      <c r="S210" s="472"/>
      <c r="T210" s="472"/>
      <c r="U210" s="472"/>
      <c r="V210" s="472"/>
      <c r="W210" s="472"/>
      <c r="X210" s="472"/>
      <c r="Y210" s="472"/>
      <c r="Z210" s="472"/>
      <c r="AA210" s="472"/>
      <c r="AB210" s="472"/>
      <c r="AC210" s="472"/>
      <c r="AD210" s="472"/>
      <c r="AE210" s="472"/>
    </row>
    <row r="211" spans="2:31">
      <c r="B211" s="472"/>
      <c r="C211" s="472"/>
      <c r="D211" s="472"/>
      <c r="E211" s="472"/>
      <c r="F211" s="472"/>
      <c r="G211" s="472"/>
      <c r="H211" s="472"/>
      <c r="I211" s="472"/>
      <c r="J211" s="472"/>
      <c r="K211" s="472"/>
      <c r="L211" s="472"/>
      <c r="M211" s="472"/>
      <c r="N211" s="472"/>
      <c r="O211" s="472"/>
      <c r="P211" s="472"/>
      <c r="Q211" s="472"/>
      <c r="R211" s="472"/>
      <c r="S211" s="472"/>
      <c r="T211" s="472"/>
      <c r="U211" s="472"/>
      <c r="V211" s="472"/>
      <c r="W211" s="472"/>
      <c r="X211" s="472"/>
      <c r="Y211" s="472"/>
      <c r="Z211" s="472"/>
      <c r="AA211" s="472"/>
      <c r="AB211" s="472"/>
      <c r="AC211" s="472"/>
      <c r="AD211" s="472"/>
      <c r="AE211" s="472"/>
    </row>
    <row r="212" spans="2:31">
      <c r="B212" s="472"/>
      <c r="C212" s="472"/>
      <c r="D212" s="472"/>
      <c r="E212" s="472"/>
      <c r="F212" s="472"/>
      <c r="G212" s="472"/>
      <c r="H212" s="472"/>
      <c r="I212" s="472"/>
      <c r="J212" s="472"/>
      <c r="K212" s="472"/>
      <c r="L212" s="472"/>
      <c r="M212" s="472"/>
      <c r="N212" s="472"/>
      <c r="O212" s="472"/>
      <c r="P212" s="472"/>
      <c r="Q212" s="472"/>
      <c r="R212" s="472"/>
      <c r="S212" s="472"/>
      <c r="T212" s="472"/>
      <c r="U212" s="472"/>
      <c r="V212" s="472"/>
      <c r="W212" s="472"/>
      <c r="X212" s="472"/>
      <c r="Y212" s="472"/>
      <c r="Z212" s="472"/>
      <c r="AA212" s="472"/>
      <c r="AB212" s="472"/>
      <c r="AC212" s="472"/>
      <c r="AD212" s="472"/>
      <c r="AE212" s="472"/>
    </row>
    <row r="213" spans="2:31">
      <c r="B213" s="472"/>
      <c r="C213" s="472"/>
      <c r="D213" s="472"/>
      <c r="E213" s="472"/>
      <c r="F213" s="472"/>
      <c r="G213" s="472"/>
      <c r="H213" s="472"/>
      <c r="I213" s="472"/>
      <c r="J213" s="472"/>
      <c r="K213" s="472"/>
      <c r="L213" s="472"/>
      <c r="M213" s="472"/>
      <c r="N213" s="472"/>
      <c r="O213" s="472"/>
      <c r="P213" s="472"/>
      <c r="Q213" s="472"/>
      <c r="R213" s="472"/>
      <c r="S213" s="472"/>
      <c r="T213" s="472"/>
      <c r="U213" s="472"/>
      <c r="V213" s="472"/>
      <c r="W213" s="472"/>
      <c r="X213" s="472"/>
      <c r="Y213" s="472"/>
      <c r="Z213" s="472"/>
      <c r="AA213" s="472"/>
      <c r="AB213" s="472"/>
      <c r="AC213" s="472"/>
      <c r="AD213" s="472"/>
      <c r="AE213" s="472"/>
    </row>
    <row r="214" spans="2:31">
      <c r="B214" s="472"/>
      <c r="C214" s="472"/>
      <c r="D214" s="472"/>
      <c r="E214" s="472"/>
      <c r="F214" s="472"/>
      <c r="G214" s="472"/>
      <c r="H214" s="472"/>
      <c r="I214" s="472"/>
      <c r="J214" s="472"/>
      <c r="K214" s="472"/>
      <c r="L214" s="472"/>
      <c r="M214" s="472"/>
      <c r="N214" s="472"/>
      <c r="O214" s="472"/>
      <c r="P214" s="472"/>
      <c r="Q214" s="472"/>
      <c r="R214" s="472"/>
      <c r="S214" s="472"/>
      <c r="T214" s="472"/>
      <c r="U214" s="472"/>
      <c r="V214" s="472"/>
      <c r="W214" s="472"/>
      <c r="X214" s="472"/>
      <c r="Y214" s="472"/>
      <c r="Z214" s="472"/>
      <c r="AA214" s="472"/>
      <c r="AB214" s="472"/>
      <c r="AC214" s="472"/>
      <c r="AD214" s="472"/>
      <c r="AE214" s="472"/>
    </row>
    <row r="215" spans="2:31">
      <c r="B215" s="472"/>
      <c r="C215" s="472"/>
      <c r="D215" s="472"/>
      <c r="E215" s="472"/>
      <c r="F215" s="472"/>
      <c r="G215" s="472"/>
      <c r="H215" s="472"/>
      <c r="I215" s="472"/>
      <c r="J215" s="472"/>
      <c r="K215" s="472"/>
      <c r="L215" s="472"/>
      <c r="M215" s="472"/>
      <c r="N215" s="472"/>
      <c r="O215" s="472"/>
      <c r="P215" s="472"/>
      <c r="Q215" s="472"/>
      <c r="R215" s="472"/>
      <c r="S215" s="472"/>
      <c r="T215" s="472"/>
      <c r="U215" s="472"/>
      <c r="V215" s="472"/>
      <c r="W215" s="472"/>
      <c r="X215" s="472"/>
      <c r="Y215" s="472"/>
      <c r="Z215" s="472"/>
      <c r="AA215" s="472"/>
      <c r="AB215" s="472"/>
      <c r="AC215" s="472"/>
      <c r="AD215" s="472"/>
      <c r="AE215" s="472"/>
    </row>
    <row r="216" spans="2:31">
      <c r="B216" s="472"/>
      <c r="C216" s="472"/>
      <c r="D216" s="472"/>
      <c r="E216" s="472"/>
      <c r="F216" s="472"/>
      <c r="G216" s="472"/>
      <c r="H216" s="472"/>
      <c r="I216" s="472"/>
      <c r="J216" s="472"/>
      <c r="K216" s="472"/>
      <c r="L216" s="472"/>
      <c r="M216" s="472"/>
      <c r="N216" s="472"/>
      <c r="O216" s="472"/>
      <c r="P216" s="472"/>
      <c r="Q216" s="472"/>
      <c r="R216" s="472"/>
      <c r="S216" s="472"/>
      <c r="T216" s="472"/>
      <c r="U216" s="472"/>
      <c r="V216" s="472"/>
      <c r="W216" s="472"/>
      <c r="X216" s="472"/>
      <c r="Y216" s="472"/>
      <c r="Z216" s="472"/>
      <c r="AA216" s="472"/>
      <c r="AB216" s="472"/>
      <c r="AC216" s="472"/>
      <c r="AD216" s="472"/>
      <c r="AE216" s="472"/>
    </row>
    <row r="217" spans="2:31">
      <c r="B217" s="472"/>
      <c r="C217" s="472"/>
      <c r="D217" s="472"/>
      <c r="E217" s="472"/>
      <c r="F217" s="472"/>
      <c r="G217" s="472"/>
      <c r="H217" s="472"/>
      <c r="I217" s="472"/>
      <c r="J217" s="472"/>
      <c r="K217" s="472"/>
      <c r="L217" s="472"/>
      <c r="M217" s="472"/>
      <c r="N217" s="472"/>
      <c r="O217" s="472"/>
      <c r="P217" s="472"/>
      <c r="Q217" s="472"/>
      <c r="R217" s="472"/>
      <c r="S217" s="472"/>
      <c r="T217" s="472"/>
      <c r="U217" s="472"/>
      <c r="V217" s="472"/>
      <c r="W217" s="472"/>
      <c r="X217" s="472"/>
      <c r="Y217" s="472"/>
      <c r="Z217" s="472"/>
      <c r="AA217" s="472"/>
      <c r="AB217" s="472"/>
      <c r="AC217" s="472"/>
      <c r="AD217" s="472"/>
      <c r="AE217" s="472"/>
    </row>
    <row r="218" spans="2:31">
      <c r="B218" s="472"/>
      <c r="C218" s="472"/>
      <c r="D218" s="472"/>
      <c r="E218" s="472"/>
      <c r="F218" s="472"/>
      <c r="G218" s="472"/>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row>
    <row r="219" spans="2:31">
      <c r="B219" s="472"/>
      <c r="C219" s="472"/>
      <c r="D219" s="472"/>
      <c r="E219" s="472"/>
      <c r="F219" s="472"/>
      <c r="G219" s="472"/>
      <c r="H219" s="472"/>
      <c r="I219" s="472"/>
      <c r="J219" s="472"/>
      <c r="K219" s="472"/>
      <c r="L219" s="472"/>
      <c r="M219" s="472"/>
      <c r="N219" s="472"/>
      <c r="O219" s="472"/>
      <c r="P219" s="472"/>
      <c r="Q219" s="472"/>
      <c r="R219" s="472"/>
      <c r="S219" s="472"/>
      <c r="T219" s="472"/>
      <c r="U219" s="472"/>
      <c r="V219" s="472"/>
      <c r="W219" s="472"/>
      <c r="X219" s="472"/>
      <c r="Y219" s="472"/>
      <c r="Z219" s="472"/>
      <c r="AA219" s="472"/>
      <c r="AB219" s="472"/>
      <c r="AC219" s="472"/>
      <c r="AD219" s="472"/>
      <c r="AE219" s="472"/>
    </row>
    <row r="220" spans="2:31">
      <c r="B220" s="472"/>
      <c r="C220" s="472"/>
      <c r="D220" s="472"/>
      <c r="E220" s="472"/>
      <c r="F220" s="472"/>
      <c r="G220" s="472"/>
      <c r="H220" s="472"/>
      <c r="I220" s="472"/>
      <c r="J220" s="472"/>
      <c r="K220" s="472"/>
      <c r="L220" s="472"/>
      <c r="M220" s="472"/>
      <c r="N220" s="472"/>
      <c r="O220" s="472"/>
      <c r="P220" s="472"/>
      <c r="Q220" s="472"/>
      <c r="R220" s="472"/>
      <c r="S220" s="472"/>
      <c r="T220" s="472"/>
      <c r="U220" s="472"/>
      <c r="V220" s="472"/>
      <c r="W220" s="472"/>
      <c r="X220" s="472"/>
      <c r="Y220" s="472"/>
      <c r="Z220" s="472"/>
      <c r="AA220" s="472"/>
      <c r="AB220" s="472"/>
      <c r="AC220" s="472"/>
      <c r="AD220" s="472"/>
      <c r="AE220" s="472"/>
    </row>
    <row r="221" spans="2:31">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row>
    <row r="222" spans="2:31">
      <c r="B222" s="472"/>
      <c r="C222" s="472"/>
      <c r="D222" s="472"/>
      <c r="E222" s="472"/>
      <c r="F222" s="472"/>
      <c r="G222" s="472"/>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2"/>
      <c r="AD222" s="472"/>
      <c r="AE222" s="472"/>
    </row>
    <row r="223" spans="2:31">
      <c r="B223" s="472"/>
      <c r="C223" s="472"/>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2"/>
      <c r="AD223" s="472"/>
      <c r="AE223" s="472"/>
    </row>
    <row r="224" spans="2:31">
      <c r="B224" s="472"/>
      <c r="C224" s="472"/>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row>
    <row r="225" spans="2:31">
      <c r="B225" s="472"/>
      <c r="C225" s="472"/>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2"/>
      <c r="AD225" s="472"/>
      <c r="AE225" s="472"/>
    </row>
    <row r="226" spans="2:31">
      <c r="B226" s="472"/>
      <c r="C226" s="472"/>
      <c r="D226" s="472"/>
      <c r="E226" s="472"/>
      <c r="F226" s="472"/>
      <c r="G226" s="472"/>
      <c r="H226" s="472"/>
      <c r="I226" s="472"/>
      <c r="J226" s="472"/>
      <c r="K226" s="472"/>
      <c r="L226" s="472"/>
      <c r="M226" s="472"/>
      <c r="N226" s="472"/>
      <c r="O226" s="472"/>
      <c r="P226" s="472"/>
      <c r="Q226" s="472"/>
      <c r="R226" s="472"/>
      <c r="S226" s="472"/>
      <c r="T226" s="472"/>
      <c r="U226" s="472"/>
      <c r="V226" s="472"/>
      <c r="W226" s="472"/>
      <c r="X226" s="472"/>
      <c r="Y226" s="472"/>
      <c r="Z226" s="472"/>
      <c r="AA226" s="472"/>
      <c r="AB226" s="472"/>
      <c r="AC226" s="472"/>
      <c r="AD226" s="472"/>
      <c r="AE226" s="472"/>
    </row>
    <row r="227" spans="2:31">
      <c r="B227" s="472"/>
      <c r="C227" s="472"/>
      <c r="D227" s="472"/>
      <c r="E227" s="472"/>
      <c r="F227" s="472"/>
      <c r="G227" s="472"/>
      <c r="H227" s="472"/>
      <c r="I227" s="472"/>
      <c r="J227" s="472"/>
      <c r="K227" s="472"/>
      <c r="L227" s="472"/>
      <c r="M227" s="472"/>
      <c r="N227" s="472"/>
      <c r="O227" s="472"/>
      <c r="P227" s="472"/>
      <c r="Q227" s="472"/>
      <c r="R227" s="472"/>
      <c r="S227" s="472"/>
      <c r="T227" s="472"/>
      <c r="U227" s="472"/>
      <c r="V227" s="472"/>
      <c r="W227" s="472"/>
      <c r="X227" s="472"/>
      <c r="Y227" s="472"/>
      <c r="Z227" s="472"/>
      <c r="AA227" s="472"/>
      <c r="AB227" s="472"/>
      <c r="AC227" s="472"/>
      <c r="AD227" s="472"/>
      <c r="AE227" s="472"/>
    </row>
    <row r="228" spans="2:31">
      <c r="B228" s="472"/>
      <c r="C228" s="472"/>
      <c r="D228" s="472"/>
      <c r="E228" s="472"/>
      <c r="F228" s="472"/>
      <c r="G228" s="472"/>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2"/>
      <c r="AD228" s="472"/>
      <c r="AE228" s="472"/>
    </row>
    <row r="229" spans="2:31">
      <c r="B229" s="472"/>
      <c r="C229" s="472"/>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472"/>
      <c r="AE229" s="472"/>
    </row>
    <row r="230" spans="2:31">
      <c r="B230" s="472"/>
      <c r="C230" s="472"/>
      <c r="D230" s="472"/>
      <c r="E230" s="472"/>
      <c r="F230" s="472"/>
      <c r="G230" s="472"/>
      <c r="H230" s="472"/>
      <c r="I230" s="472"/>
      <c r="J230" s="472"/>
      <c r="K230" s="472"/>
      <c r="L230" s="472"/>
      <c r="M230" s="472"/>
      <c r="N230" s="472"/>
      <c r="O230" s="472"/>
      <c r="P230" s="472"/>
      <c r="Q230" s="472"/>
      <c r="R230" s="472"/>
      <c r="S230" s="472"/>
      <c r="T230" s="472"/>
      <c r="U230" s="472"/>
      <c r="V230" s="472"/>
      <c r="W230" s="472"/>
      <c r="X230" s="472"/>
      <c r="Y230" s="472"/>
      <c r="Z230" s="472"/>
      <c r="AA230" s="472"/>
      <c r="AB230" s="472"/>
      <c r="AC230" s="472"/>
      <c r="AD230" s="472"/>
      <c r="AE230" s="472"/>
    </row>
    <row r="231" spans="2:31">
      <c r="B231" s="472"/>
      <c r="C231" s="472"/>
      <c r="D231" s="472"/>
      <c r="E231" s="472"/>
      <c r="F231" s="472"/>
      <c r="G231" s="472"/>
      <c r="H231" s="472"/>
      <c r="I231" s="472"/>
      <c r="J231" s="472"/>
      <c r="K231" s="472"/>
      <c r="L231" s="472"/>
      <c r="M231" s="472"/>
      <c r="N231" s="472"/>
      <c r="O231" s="472"/>
      <c r="P231" s="472"/>
      <c r="Q231" s="472"/>
      <c r="R231" s="472"/>
      <c r="S231" s="472"/>
      <c r="T231" s="472"/>
      <c r="U231" s="472"/>
      <c r="V231" s="472"/>
      <c r="W231" s="472"/>
      <c r="X231" s="472"/>
      <c r="Y231" s="472"/>
      <c r="Z231" s="472"/>
      <c r="AA231" s="472"/>
      <c r="AB231" s="472"/>
      <c r="AC231" s="472"/>
      <c r="AD231" s="472"/>
      <c r="AE231" s="472"/>
    </row>
    <row r="232" spans="2:31">
      <c r="B232" s="472"/>
      <c r="C232" s="472"/>
      <c r="D232" s="472"/>
      <c r="E232" s="472"/>
      <c r="F232" s="472"/>
      <c r="G232" s="472"/>
      <c r="H232" s="472"/>
      <c r="I232" s="472"/>
      <c r="J232" s="472"/>
      <c r="K232" s="472"/>
      <c r="L232" s="472"/>
      <c r="M232" s="472"/>
      <c r="N232" s="472"/>
      <c r="O232" s="472"/>
      <c r="P232" s="472"/>
      <c r="Q232" s="472"/>
      <c r="R232" s="472"/>
      <c r="S232" s="472"/>
      <c r="T232" s="472"/>
      <c r="U232" s="472"/>
      <c r="V232" s="472"/>
      <c r="W232" s="472"/>
      <c r="X232" s="472"/>
      <c r="Y232" s="472"/>
      <c r="Z232" s="472"/>
      <c r="AA232" s="472"/>
      <c r="AB232" s="472"/>
      <c r="AC232" s="472"/>
      <c r="AD232" s="472"/>
      <c r="AE232" s="472"/>
    </row>
    <row r="233" spans="2:31">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row>
    <row r="234" spans="2:31">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row>
    <row r="235" spans="2:31">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row>
    <row r="236" spans="2:31">
      <c r="B236" s="472"/>
      <c r="C236" s="472"/>
      <c r="D236" s="472"/>
      <c r="E236" s="472"/>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row>
    <row r="237" spans="2:31">
      <c r="B237" s="472"/>
      <c r="C237" s="472"/>
      <c r="D237" s="472"/>
      <c r="E237" s="472"/>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row>
    <row r="238" spans="2:31">
      <c r="B238" s="472"/>
      <c r="C238" s="472"/>
      <c r="D238" s="472"/>
      <c r="E238" s="472"/>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row>
    <row r="239" spans="2:31">
      <c r="B239" s="472"/>
      <c r="C239" s="472"/>
      <c r="D239" s="472"/>
      <c r="E239" s="472"/>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row>
    <row r="240" spans="2:31">
      <c r="B240" s="472"/>
      <c r="C240" s="472"/>
      <c r="D240" s="472"/>
      <c r="E240" s="472"/>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row>
    <row r="241" spans="2:31">
      <c r="B241" s="472"/>
      <c r="C241" s="472"/>
      <c r="D241" s="472"/>
      <c r="E241" s="472"/>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row>
    <row r="242" spans="2:31">
      <c r="B242" s="472"/>
      <c r="C242" s="472"/>
      <c r="D242" s="472"/>
      <c r="E242" s="472"/>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row>
    <row r="243" spans="2:31">
      <c r="B243" s="472"/>
      <c r="C243" s="472"/>
      <c r="D243" s="472"/>
      <c r="E243" s="472"/>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row>
    <row r="244" spans="2:31">
      <c r="B244" s="472"/>
      <c r="C244" s="472"/>
      <c r="D244" s="472"/>
      <c r="E244" s="472"/>
      <c r="F244" s="472"/>
      <c r="G244" s="472"/>
      <c r="H244" s="472"/>
      <c r="I244" s="472"/>
      <c r="J244" s="472"/>
      <c r="K244" s="472"/>
      <c r="L244" s="472"/>
      <c r="M244" s="472"/>
      <c r="N244" s="472"/>
      <c r="O244" s="472"/>
      <c r="P244" s="472"/>
      <c r="Q244" s="472"/>
      <c r="R244" s="472"/>
      <c r="S244" s="472"/>
      <c r="T244" s="472"/>
      <c r="U244" s="472"/>
      <c r="V244" s="472"/>
      <c r="W244" s="472"/>
      <c r="X244" s="472"/>
      <c r="Y244" s="472"/>
      <c r="Z244" s="472"/>
      <c r="AA244" s="472"/>
      <c r="AB244" s="472"/>
      <c r="AC244" s="472"/>
      <c r="AD244" s="472"/>
      <c r="AE244" s="472"/>
    </row>
    <row r="245" spans="2:31">
      <c r="B245" s="472"/>
      <c r="C245" s="472"/>
      <c r="D245" s="472"/>
      <c r="E245" s="472"/>
      <c r="F245" s="472"/>
      <c r="G245" s="472"/>
      <c r="H245" s="472"/>
      <c r="I245" s="472"/>
      <c r="J245" s="472"/>
      <c r="K245" s="472"/>
      <c r="L245" s="472"/>
      <c r="M245" s="472"/>
      <c r="N245" s="472"/>
      <c r="O245" s="472"/>
      <c r="P245" s="472"/>
      <c r="Q245" s="472"/>
      <c r="R245" s="472"/>
      <c r="S245" s="472"/>
      <c r="T245" s="472"/>
      <c r="U245" s="472"/>
      <c r="V245" s="472"/>
      <c r="W245" s="472"/>
      <c r="X245" s="472"/>
      <c r="Y245" s="472"/>
      <c r="Z245" s="472"/>
      <c r="AA245" s="472"/>
      <c r="AB245" s="472"/>
      <c r="AC245" s="472"/>
      <c r="AD245" s="472"/>
      <c r="AE245" s="472"/>
    </row>
    <row r="246" spans="2:31">
      <c r="B246" s="472"/>
      <c r="C246" s="472"/>
      <c r="D246" s="472"/>
      <c r="E246" s="472"/>
      <c r="F246" s="472"/>
      <c r="G246" s="472"/>
      <c r="H246" s="472"/>
      <c r="I246" s="472"/>
      <c r="J246" s="472"/>
      <c r="K246" s="472"/>
      <c r="L246" s="472"/>
      <c r="M246" s="472"/>
      <c r="N246" s="472"/>
      <c r="O246" s="472"/>
      <c r="P246" s="472"/>
      <c r="Q246" s="472"/>
      <c r="R246" s="472"/>
      <c r="S246" s="472"/>
      <c r="T246" s="472"/>
      <c r="U246" s="472"/>
      <c r="V246" s="472"/>
      <c r="W246" s="472"/>
      <c r="X246" s="472"/>
      <c r="Y246" s="472"/>
      <c r="Z246" s="472"/>
      <c r="AA246" s="472"/>
      <c r="AB246" s="472"/>
      <c r="AC246" s="472"/>
      <c r="AD246" s="472"/>
      <c r="AE246" s="472"/>
    </row>
    <row r="247" spans="2:31">
      <c r="B247" s="472"/>
      <c r="C247" s="472"/>
      <c r="D247" s="472"/>
      <c r="E247" s="472"/>
      <c r="F247" s="472"/>
      <c r="G247" s="472"/>
      <c r="H247" s="472"/>
      <c r="I247" s="472"/>
      <c r="J247" s="472"/>
      <c r="K247" s="472"/>
      <c r="L247" s="472"/>
      <c r="M247" s="472"/>
      <c r="N247" s="472"/>
      <c r="O247" s="472"/>
      <c r="P247" s="472"/>
      <c r="Q247" s="472"/>
      <c r="R247" s="472"/>
      <c r="S247" s="472"/>
      <c r="T247" s="472"/>
      <c r="U247" s="472"/>
      <c r="V247" s="472"/>
      <c r="W247" s="472"/>
      <c r="X247" s="472"/>
      <c r="Y247" s="472"/>
      <c r="Z247" s="472"/>
      <c r="AA247" s="472"/>
      <c r="AB247" s="472"/>
      <c r="AC247" s="472"/>
      <c r="AD247" s="472"/>
      <c r="AE247" s="472"/>
    </row>
    <row r="248" spans="2:31">
      <c r="B248" s="472"/>
      <c r="C248" s="472"/>
      <c r="D248" s="472"/>
      <c r="E248" s="472"/>
      <c r="F248" s="472"/>
      <c r="G248" s="472"/>
      <c r="H248" s="472"/>
      <c r="I248" s="472"/>
      <c r="J248" s="472"/>
      <c r="K248" s="472"/>
      <c r="L248" s="472"/>
      <c r="M248" s="472"/>
      <c r="N248" s="472"/>
      <c r="O248" s="472"/>
      <c r="P248" s="472"/>
      <c r="Q248" s="472"/>
      <c r="R248" s="472"/>
      <c r="S248" s="472"/>
      <c r="T248" s="472"/>
      <c r="U248" s="472"/>
      <c r="V248" s="472"/>
      <c r="W248" s="472"/>
      <c r="X248" s="472"/>
      <c r="Y248" s="472"/>
      <c r="Z248" s="472"/>
      <c r="AA248" s="472"/>
      <c r="AB248" s="472"/>
      <c r="AC248" s="472"/>
      <c r="AD248" s="472"/>
      <c r="AE248" s="472"/>
    </row>
    <row r="249" spans="2:31">
      <c r="B249" s="472"/>
      <c r="C249" s="472"/>
      <c r="D249" s="472"/>
      <c r="E249" s="472"/>
      <c r="F249" s="472"/>
      <c r="G249" s="472"/>
      <c r="H249" s="472"/>
      <c r="I249" s="472"/>
      <c r="J249" s="472"/>
      <c r="K249" s="472"/>
      <c r="L249" s="472"/>
      <c r="M249" s="472"/>
      <c r="N249" s="472"/>
      <c r="O249" s="472"/>
      <c r="P249" s="472"/>
      <c r="Q249" s="472"/>
      <c r="R249" s="472"/>
      <c r="S249" s="472"/>
      <c r="T249" s="472"/>
      <c r="U249" s="472"/>
      <c r="V249" s="472"/>
      <c r="W249" s="472"/>
      <c r="X249" s="472"/>
      <c r="Y249" s="472"/>
      <c r="Z249" s="472"/>
      <c r="AA249" s="472"/>
      <c r="AB249" s="472"/>
      <c r="AC249" s="472"/>
      <c r="AD249" s="472"/>
      <c r="AE249" s="472"/>
    </row>
    <row r="250" spans="2:31">
      <c r="B250" s="472"/>
      <c r="C250" s="472"/>
      <c r="D250" s="472"/>
      <c r="E250" s="472"/>
      <c r="F250" s="472"/>
      <c r="G250" s="472"/>
      <c r="H250" s="472"/>
      <c r="I250" s="472"/>
      <c r="J250" s="472"/>
      <c r="K250" s="472"/>
      <c r="L250" s="472"/>
      <c r="M250" s="472"/>
      <c r="N250" s="472"/>
      <c r="O250" s="472"/>
      <c r="P250" s="472"/>
      <c r="Q250" s="472"/>
      <c r="R250" s="472"/>
      <c r="S250" s="472"/>
      <c r="T250" s="472"/>
      <c r="U250" s="472"/>
      <c r="V250" s="472"/>
      <c r="W250" s="472"/>
      <c r="X250" s="472"/>
      <c r="Y250" s="472"/>
      <c r="Z250" s="472"/>
      <c r="AA250" s="472"/>
      <c r="AB250" s="472"/>
      <c r="AC250" s="472"/>
      <c r="AD250" s="472"/>
      <c r="AE250" s="472"/>
    </row>
    <row r="251" spans="2:31">
      <c r="B251" s="472"/>
      <c r="C251" s="472"/>
      <c r="D251" s="472"/>
      <c r="E251" s="472"/>
      <c r="F251" s="472"/>
      <c r="G251" s="472"/>
      <c r="H251" s="472"/>
      <c r="I251" s="472"/>
      <c r="J251" s="472"/>
      <c r="K251" s="472"/>
      <c r="L251" s="472"/>
      <c r="M251" s="472"/>
      <c r="N251" s="472"/>
      <c r="O251" s="472"/>
      <c r="P251" s="472"/>
      <c r="Q251" s="472"/>
      <c r="R251" s="472"/>
      <c r="S251" s="472"/>
      <c r="T251" s="472"/>
      <c r="U251" s="472"/>
      <c r="V251" s="472"/>
      <c r="W251" s="472"/>
      <c r="X251" s="472"/>
      <c r="Y251" s="472"/>
      <c r="Z251" s="472"/>
      <c r="AA251" s="472"/>
      <c r="AB251" s="472"/>
      <c r="AC251" s="472"/>
      <c r="AD251" s="472"/>
      <c r="AE251" s="472"/>
    </row>
    <row r="252" spans="2:31">
      <c r="B252" s="472"/>
      <c r="C252" s="472"/>
      <c r="D252" s="472"/>
      <c r="E252" s="472"/>
      <c r="F252" s="472"/>
      <c r="G252" s="472"/>
      <c r="H252" s="472"/>
      <c r="I252" s="472"/>
      <c r="J252" s="472"/>
      <c r="K252" s="472"/>
      <c r="L252" s="472"/>
      <c r="M252" s="472"/>
      <c r="N252" s="472"/>
      <c r="O252" s="472"/>
      <c r="P252" s="472"/>
      <c r="Q252" s="472"/>
      <c r="R252" s="472"/>
      <c r="S252" s="472"/>
      <c r="T252" s="472"/>
      <c r="U252" s="472"/>
      <c r="V252" s="472"/>
      <c r="W252" s="472"/>
      <c r="X252" s="472"/>
      <c r="Y252" s="472"/>
      <c r="Z252" s="472"/>
      <c r="AA252" s="472"/>
      <c r="AB252" s="472"/>
      <c r="AC252" s="472"/>
      <c r="AD252" s="472"/>
      <c r="AE252" s="472"/>
    </row>
    <row r="253" spans="2:31">
      <c r="B253" s="472"/>
      <c r="C253" s="472"/>
      <c r="D253" s="472"/>
      <c r="E253" s="472"/>
      <c r="F253" s="472"/>
      <c r="G253" s="472"/>
      <c r="H253" s="472"/>
      <c r="I253" s="472"/>
      <c r="J253" s="472"/>
      <c r="K253" s="472"/>
      <c r="L253" s="472"/>
      <c r="M253" s="472"/>
      <c r="N253" s="472"/>
      <c r="O253" s="472"/>
      <c r="P253" s="472"/>
      <c r="Q253" s="472"/>
      <c r="R253" s="472"/>
      <c r="S253" s="472"/>
      <c r="T253" s="472"/>
      <c r="U253" s="472"/>
      <c r="V253" s="472"/>
      <c r="W253" s="472"/>
      <c r="X253" s="472"/>
      <c r="Y253" s="472"/>
      <c r="Z253" s="472"/>
      <c r="AA253" s="472"/>
      <c r="AB253" s="472"/>
      <c r="AC253" s="472"/>
      <c r="AD253" s="472"/>
      <c r="AE253" s="472"/>
    </row>
    <row r="254" spans="2:31">
      <c r="B254" s="472"/>
      <c r="C254" s="472"/>
      <c r="D254" s="472"/>
      <c r="E254" s="472"/>
      <c r="F254" s="472"/>
      <c r="G254" s="472"/>
      <c r="H254" s="472"/>
      <c r="I254" s="472"/>
      <c r="J254" s="472"/>
      <c r="K254" s="472"/>
      <c r="L254" s="472"/>
      <c r="M254" s="472"/>
      <c r="N254" s="472"/>
      <c r="O254" s="472"/>
      <c r="P254" s="472"/>
      <c r="Q254" s="472"/>
      <c r="R254" s="472"/>
      <c r="S254" s="472"/>
      <c r="T254" s="472"/>
      <c r="U254" s="472"/>
      <c r="V254" s="472"/>
      <c r="W254" s="472"/>
      <c r="X254" s="472"/>
      <c r="Y254" s="472"/>
      <c r="Z254" s="472"/>
      <c r="AA254" s="472"/>
      <c r="AB254" s="472"/>
      <c r="AC254" s="472"/>
      <c r="AD254" s="472"/>
      <c r="AE254" s="472"/>
    </row>
    <row r="255" spans="2:31">
      <c r="B255" s="472"/>
      <c r="C255" s="472"/>
      <c r="D255" s="472"/>
      <c r="E255" s="472"/>
      <c r="F255" s="472"/>
      <c r="G255" s="472"/>
      <c r="H255" s="472"/>
      <c r="I255" s="472"/>
      <c r="J255" s="472"/>
      <c r="K255" s="472"/>
      <c r="L255" s="472"/>
      <c r="M255" s="472"/>
      <c r="N255" s="472"/>
      <c r="O255" s="472"/>
      <c r="P255" s="472"/>
      <c r="Q255" s="472"/>
      <c r="R255" s="472"/>
      <c r="S255" s="472"/>
      <c r="T255" s="472"/>
      <c r="U255" s="472"/>
      <c r="V255" s="472"/>
      <c r="W255" s="472"/>
      <c r="X255" s="472"/>
      <c r="Y255" s="472"/>
      <c r="Z255" s="472"/>
      <c r="AA255" s="472"/>
      <c r="AB255" s="472"/>
      <c r="AC255" s="472"/>
      <c r="AD255" s="472"/>
      <c r="AE255" s="472"/>
    </row>
    <row r="256" spans="2:31">
      <c r="B256" s="472"/>
      <c r="C256" s="472"/>
      <c r="D256" s="472"/>
      <c r="E256" s="472"/>
      <c r="F256" s="472"/>
      <c r="G256" s="472"/>
      <c r="H256" s="472"/>
      <c r="I256" s="472"/>
      <c r="J256" s="472"/>
      <c r="K256" s="472"/>
      <c r="L256" s="472"/>
      <c r="M256" s="472"/>
      <c r="N256" s="472"/>
      <c r="O256" s="472"/>
      <c r="P256" s="472"/>
      <c r="Q256" s="472"/>
      <c r="R256" s="472"/>
      <c r="S256" s="472"/>
      <c r="T256" s="472"/>
      <c r="U256" s="472"/>
      <c r="V256" s="472"/>
      <c r="W256" s="472"/>
      <c r="X256" s="472"/>
      <c r="Y256" s="472"/>
      <c r="Z256" s="472"/>
      <c r="AA256" s="472"/>
      <c r="AB256" s="472"/>
      <c r="AC256" s="472"/>
      <c r="AD256" s="472"/>
      <c r="AE256" s="472"/>
    </row>
    <row r="257" spans="2:31">
      <c r="B257" s="472"/>
      <c r="C257" s="472"/>
      <c r="D257" s="472"/>
      <c r="E257" s="472"/>
      <c r="F257" s="472"/>
      <c r="G257" s="472"/>
      <c r="H257" s="472"/>
      <c r="I257" s="472"/>
      <c r="J257" s="472"/>
      <c r="K257" s="472"/>
      <c r="L257" s="472"/>
      <c r="M257" s="472"/>
      <c r="N257" s="472"/>
      <c r="O257" s="472"/>
      <c r="P257" s="472"/>
      <c r="Q257" s="472"/>
      <c r="R257" s="472"/>
      <c r="S257" s="472"/>
      <c r="T257" s="472"/>
      <c r="U257" s="472"/>
      <c r="V257" s="472"/>
      <c r="W257" s="472"/>
      <c r="X257" s="472"/>
      <c r="Y257" s="472"/>
      <c r="Z257" s="472"/>
      <c r="AA257" s="472"/>
      <c r="AB257" s="472"/>
      <c r="AC257" s="472"/>
      <c r="AD257" s="472"/>
      <c r="AE257" s="472"/>
    </row>
    <row r="258" spans="2:31">
      <c r="B258" s="472"/>
      <c r="C258" s="472"/>
      <c r="D258" s="472"/>
      <c r="E258" s="472"/>
      <c r="F258" s="472"/>
      <c r="G258" s="472"/>
      <c r="H258" s="472"/>
      <c r="I258" s="472"/>
      <c r="J258" s="472"/>
      <c r="K258" s="472"/>
      <c r="L258" s="472"/>
      <c r="M258" s="472"/>
      <c r="N258" s="472"/>
      <c r="O258" s="472"/>
      <c r="P258" s="472"/>
      <c r="Q258" s="472"/>
      <c r="R258" s="472"/>
      <c r="S258" s="472"/>
      <c r="T258" s="472"/>
      <c r="U258" s="472"/>
      <c r="V258" s="472"/>
      <c r="W258" s="472"/>
      <c r="X258" s="472"/>
      <c r="Y258" s="472"/>
      <c r="Z258" s="472"/>
      <c r="AA258" s="472"/>
      <c r="AB258" s="472"/>
      <c r="AC258" s="472"/>
      <c r="AD258" s="472"/>
      <c r="AE258" s="472"/>
    </row>
    <row r="259" spans="2:31">
      <c r="B259" s="472"/>
      <c r="C259" s="472"/>
      <c r="D259" s="472"/>
      <c r="E259" s="472"/>
      <c r="F259" s="472"/>
      <c r="G259" s="472"/>
      <c r="H259" s="472"/>
      <c r="I259" s="472"/>
      <c r="J259" s="472"/>
      <c r="K259" s="472"/>
      <c r="L259" s="472"/>
      <c r="M259" s="472"/>
      <c r="N259" s="472"/>
      <c r="O259" s="472"/>
      <c r="P259" s="472"/>
      <c r="Q259" s="472"/>
      <c r="R259" s="472"/>
      <c r="S259" s="472"/>
      <c r="T259" s="472"/>
      <c r="U259" s="472"/>
      <c r="V259" s="472"/>
      <c r="W259" s="472"/>
      <c r="X259" s="472"/>
      <c r="Y259" s="472"/>
      <c r="Z259" s="472"/>
      <c r="AA259" s="472"/>
      <c r="AB259" s="472"/>
      <c r="AC259" s="472"/>
      <c r="AD259" s="472"/>
      <c r="AE259" s="472"/>
    </row>
    <row r="260" spans="2:31">
      <c r="B260" s="472"/>
      <c r="C260" s="472"/>
      <c r="D260" s="472"/>
      <c r="E260" s="472"/>
      <c r="F260" s="472"/>
      <c r="G260" s="472"/>
      <c r="H260" s="472"/>
      <c r="I260" s="472"/>
      <c r="J260" s="472"/>
      <c r="K260" s="472"/>
      <c r="L260" s="472"/>
      <c r="M260" s="472"/>
      <c r="N260" s="472"/>
      <c r="O260" s="472"/>
      <c r="P260" s="472"/>
      <c r="Q260" s="472"/>
      <c r="R260" s="472"/>
      <c r="S260" s="472"/>
      <c r="T260" s="472"/>
      <c r="U260" s="472"/>
      <c r="V260" s="472"/>
      <c r="W260" s="472"/>
      <c r="X260" s="472"/>
      <c r="Y260" s="472"/>
      <c r="Z260" s="472"/>
      <c r="AA260" s="472"/>
      <c r="AB260" s="472"/>
      <c r="AC260" s="472"/>
      <c r="AD260" s="472"/>
      <c r="AE260" s="472"/>
    </row>
    <row r="261" spans="2:31">
      <c r="B261" s="472"/>
      <c r="C261" s="472"/>
      <c r="D261" s="472"/>
      <c r="E261" s="472"/>
      <c r="F261" s="472"/>
      <c r="G261" s="472"/>
      <c r="H261" s="472"/>
      <c r="I261" s="472"/>
      <c r="J261" s="472"/>
      <c r="K261" s="472"/>
      <c r="L261" s="472"/>
      <c r="M261" s="472"/>
      <c r="N261" s="472"/>
      <c r="O261" s="472"/>
      <c r="P261" s="472"/>
      <c r="Q261" s="472"/>
      <c r="R261" s="472"/>
      <c r="S261" s="472"/>
      <c r="T261" s="472"/>
      <c r="U261" s="472"/>
      <c r="V261" s="472"/>
      <c r="W261" s="472"/>
      <c r="X261" s="472"/>
      <c r="Y261" s="472"/>
      <c r="Z261" s="472"/>
      <c r="AA261" s="472"/>
      <c r="AB261" s="472"/>
      <c r="AC261" s="472"/>
      <c r="AD261" s="472"/>
      <c r="AE261" s="472"/>
    </row>
    <row r="262" spans="2:31">
      <c r="B262" s="472"/>
      <c r="C262" s="472"/>
      <c r="D262" s="472"/>
      <c r="E262" s="472"/>
      <c r="F262" s="472"/>
      <c r="G262" s="472"/>
      <c r="H262" s="472"/>
      <c r="I262" s="472"/>
      <c r="J262" s="472"/>
      <c r="K262" s="472"/>
      <c r="L262" s="472"/>
      <c r="M262" s="472"/>
      <c r="N262" s="472"/>
      <c r="O262" s="472"/>
      <c r="P262" s="472"/>
      <c r="Q262" s="472"/>
      <c r="R262" s="472"/>
      <c r="S262" s="472"/>
      <c r="T262" s="472"/>
      <c r="U262" s="472"/>
      <c r="V262" s="472"/>
      <c r="W262" s="472"/>
      <c r="X262" s="472"/>
      <c r="Y262" s="472"/>
      <c r="Z262" s="472"/>
      <c r="AA262" s="472"/>
      <c r="AB262" s="472"/>
      <c r="AC262" s="472"/>
      <c r="AD262" s="472"/>
      <c r="AE262" s="472"/>
    </row>
    <row r="263" spans="2:31">
      <c r="B263" s="472"/>
      <c r="C263" s="472"/>
      <c r="D263" s="472"/>
      <c r="E263" s="472"/>
      <c r="F263" s="472"/>
      <c r="G263" s="472"/>
      <c r="H263" s="472"/>
      <c r="I263" s="472"/>
      <c r="J263" s="472"/>
      <c r="K263" s="472"/>
      <c r="L263" s="472"/>
      <c r="M263" s="472"/>
      <c r="N263" s="472"/>
      <c r="O263" s="472"/>
      <c r="P263" s="472"/>
      <c r="Q263" s="472"/>
      <c r="R263" s="472"/>
      <c r="S263" s="472"/>
      <c r="T263" s="472"/>
      <c r="U263" s="472"/>
      <c r="V263" s="472"/>
      <c r="W263" s="472"/>
      <c r="X263" s="472"/>
      <c r="Y263" s="472"/>
      <c r="Z263" s="472"/>
      <c r="AA263" s="472"/>
      <c r="AB263" s="472"/>
      <c r="AC263" s="472"/>
      <c r="AD263" s="472"/>
      <c r="AE263" s="472"/>
    </row>
    <row r="264" spans="2:31">
      <c r="B264" s="472"/>
      <c r="C264" s="472"/>
      <c r="D264" s="472"/>
      <c r="E264" s="472"/>
      <c r="F264" s="472"/>
      <c r="G264" s="472"/>
      <c r="H264" s="472"/>
      <c r="I264" s="472"/>
      <c r="J264" s="472"/>
      <c r="K264" s="472"/>
      <c r="L264" s="472"/>
      <c r="M264" s="472"/>
      <c r="N264" s="472"/>
      <c r="O264" s="472"/>
      <c r="P264" s="472"/>
      <c r="Q264" s="472"/>
      <c r="R264" s="472"/>
      <c r="S264" s="472"/>
      <c r="T264" s="472"/>
      <c r="U264" s="472"/>
      <c r="V264" s="472"/>
      <c r="W264" s="472"/>
      <c r="X264" s="472"/>
      <c r="Y264" s="472"/>
      <c r="Z264" s="472"/>
      <c r="AA264" s="472"/>
      <c r="AB264" s="472"/>
      <c r="AC264" s="472"/>
      <c r="AD264" s="472"/>
      <c r="AE264" s="472"/>
    </row>
    <row r="265" spans="2:31">
      <c r="B265" s="472"/>
      <c r="C265" s="472"/>
      <c r="D265" s="472"/>
      <c r="E265" s="472"/>
      <c r="F265" s="472"/>
      <c r="G265" s="472"/>
      <c r="H265" s="472"/>
      <c r="I265" s="472"/>
      <c r="J265" s="472"/>
      <c r="K265" s="472"/>
      <c r="L265" s="472"/>
      <c r="M265" s="472"/>
      <c r="N265" s="472"/>
      <c r="O265" s="472"/>
      <c r="P265" s="472"/>
      <c r="Q265" s="472"/>
      <c r="R265" s="472"/>
      <c r="S265" s="472"/>
      <c r="T265" s="472"/>
      <c r="U265" s="472"/>
      <c r="V265" s="472"/>
      <c r="W265" s="472"/>
      <c r="X265" s="472"/>
      <c r="Y265" s="472"/>
      <c r="Z265" s="472"/>
      <c r="AA265" s="472"/>
      <c r="AB265" s="472"/>
      <c r="AC265" s="472"/>
      <c r="AD265" s="472"/>
      <c r="AE265" s="472"/>
    </row>
    <row r="266" spans="2:31">
      <c r="B266" s="472"/>
      <c r="C266" s="472"/>
      <c r="D266" s="472"/>
      <c r="E266" s="472"/>
      <c r="F266" s="472"/>
      <c r="G266" s="472"/>
      <c r="H266" s="472"/>
      <c r="I266" s="472"/>
      <c r="J266" s="472"/>
      <c r="K266" s="472"/>
      <c r="L266" s="472"/>
      <c r="M266" s="472"/>
      <c r="N266" s="472"/>
      <c r="O266" s="472"/>
      <c r="P266" s="472"/>
      <c r="Q266" s="472"/>
      <c r="R266" s="472"/>
      <c r="S266" s="472"/>
      <c r="T266" s="472"/>
      <c r="U266" s="472"/>
      <c r="V266" s="472"/>
      <c r="W266" s="472"/>
      <c r="X266" s="472"/>
      <c r="Y266" s="472"/>
      <c r="Z266" s="472"/>
      <c r="AA266" s="472"/>
      <c r="AB266" s="472"/>
      <c r="AC266" s="472"/>
      <c r="AD266" s="472"/>
      <c r="AE266" s="472"/>
    </row>
    <row r="267" spans="2:31">
      <c r="B267" s="472"/>
      <c r="C267" s="472"/>
      <c r="D267" s="472"/>
      <c r="E267" s="472"/>
      <c r="F267" s="472"/>
      <c r="G267" s="472"/>
      <c r="H267" s="472"/>
      <c r="I267" s="472"/>
      <c r="J267" s="472"/>
      <c r="K267" s="472"/>
      <c r="L267" s="472"/>
      <c r="M267" s="472"/>
      <c r="N267" s="472"/>
      <c r="O267" s="472"/>
      <c r="P267" s="472"/>
      <c r="Q267" s="472"/>
      <c r="R267" s="472"/>
      <c r="S267" s="472"/>
      <c r="T267" s="472"/>
      <c r="U267" s="472"/>
      <c r="V267" s="472"/>
      <c r="W267" s="472"/>
      <c r="X267" s="472"/>
      <c r="Y267" s="472"/>
      <c r="Z267" s="472"/>
      <c r="AA267" s="472"/>
      <c r="AB267" s="472"/>
      <c r="AC267" s="472"/>
      <c r="AD267" s="472"/>
      <c r="AE267" s="472"/>
    </row>
    <row r="268" spans="2:31">
      <c r="B268" s="472"/>
      <c r="C268" s="472"/>
      <c r="D268" s="472"/>
      <c r="E268" s="472"/>
      <c r="F268" s="472"/>
      <c r="G268" s="472"/>
      <c r="H268" s="472"/>
      <c r="I268" s="472"/>
      <c r="J268" s="472"/>
      <c r="K268" s="472"/>
      <c r="L268" s="472"/>
      <c r="M268" s="472"/>
      <c r="N268" s="472"/>
      <c r="O268" s="472"/>
      <c r="P268" s="472"/>
      <c r="Q268" s="472"/>
      <c r="R268" s="472"/>
      <c r="S268" s="472"/>
      <c r="T268" s="472"/>
      <c r="U268" s="472"/>
      <c r="V268" s="472"/>
      <c r="W268" s="472"/>
      <c r="X268" s="472"/>
      <c r="Y268" s="472"/>
      <c r="Z268" s="472"/>
      <c r="AA268" s="472"/>
      <c r="AB268" s="472"/>
      <c r="AC268" s="472"/>
      <c r="AD268" s="472"/>
      <c r="AE268" s="472"/>
    </row>
    <row r="269" spans="2:31">
      <c r="B269" s="472"/>
      <c r="C269" s="472"/>
      <c r="D269" s="472"/>
      <c r="E269" s="472"/>
      <c r="F269" s="472"/>
      <c r="G269" s="472"/>
      <c r="H269" s="472"/>
      <c r="I269" s="472"/>
      <c r="J269" s="472"/>
      <c r="K269" s="472"/>
      <c r="L269" s="472"/>
      <c r="M269" s="472"/>
      <c r="N269" s="472"/>
      <c r="O269" s="472"/>
      <c r="P269" s="472"/>
      <c r="Q269" s="472"/>
      <c r="R269" s="472"/>
      <c r="S269" s="472"/>
      <c r="T269" s="472"/>
      <c r="U269" s="472"/>
      <c r="V269" s="472"/>
      <c r="W269" s="472"/>
      <c r="X269" s="472"/>
      <c r="Y269" s="472"/>
      <c r="Z269" s="472"/>
      <c r="AA269" s="472"/>
      <c r="AB269" s="472"/>
      <c r="AC269" s="472"/>
      <c r="AD269" s="472"/>
      <c r="AE269" s="472"/>
    </row>
    <row r="270" spans="2:31">
      <c r="B270" s="472"/>
      <c r="C270" s="472"/>
      <c r="D270" s="472"/>
      <c r="E270" s="472"/>
      <c r="F270" s="472"/>
      <c r="G270" s="472"/>
      <c r="H270" s="472"/>
      <c r="I270" s="472"/>
      <c r="J270" s="472"/>
      <c r="K270" s="472"/>
      <c r="L270" s="472"/>
      <c r="M270" s="472"/>
      <c r="N270" s="472"/>
      <c r="O270" s="472"/>
      <c r="P270" s="472"/>
      <c r="Q270" s="472"/>
      <c r="R270" s="472"/>
      <c r="S270" s="472"/>
      <c r="T270" s="472"/>
      <c r="U270" s="472"/>
      <c r="V270" s="472"/>
      <c r="W270" s="472"/>
      <c r="X270" s="472"/>
      <c r="Y270" s="472"/>
      <c r="Z270" s="472"/>
      <c r="AA270" s="472"/>
      <c r="AB270" s="472"/>
      <c r="AC270" s="472"/>
      <c r="AD270" s="472"/>
      <c r="AE270" s="472"/>
    </row>
    <row r="271" spans="2:31">
      <c r="B271" s="472"/>
      <c r="C271" s="472"/>
      <c r="D271" s="472"/>
      <c r="E271" s="472"/>
      <c r="F271" s="472"/>
      <c r="G271" s="472"/>
      <c r="H271" s="472"/>
      <c r="I271" s="472"/>
      <c r="J271" s="472"/>
      <c r="K271" s="472"/>
      <c r="L271" s="472"/>
      <c r="M271" s="472"/>
      <c r="N271" s="472"/>
      <c r="O271" s="472"/>
      <c r="P271" s="472"/>
      <c r="Q271" s="472"/>
      <c r="R271" s="472"/>
      <c r="S271" s="472"/>
      <c r="T271" s="472"/>
      <c r="U271" s="472"/>
      <c r="V271" s="472"/>
      <c r="W271" s="472"/>
      <c r="X271" s="472"/>
      <c r="Y271" s="472"/>
      <c r="Z271" s="472"/>
      <c r="AA271" s="472"/>
      <c r="AB271" s="472"/>
      <c r="AC271" s="472"/>
      <c r="AD271" s="472"/>
      <c r="AE271" s="472"/>
    </row>
    <row r="272" spans="2:31">
      <c r="B272" s="472"/>
      <c r="C272" s="472"/>
      <c r="D272" s="472"/>
      <c r="E272" s="472"/>
      <c r="F272" s="472"/>
      <c r="G272" s="472"/>
      <c r="H272" s="472"/>
      <c r="I272" s="472"/>
      <c r="J272" s="472"/>
      <c r="K272" s="472"/>
      <c r="L272" s="472"/>
      <c r="M272" s="472"/>
      <c r="N272" s="472"/>
      <c r="O272" s="472"/>
      <c r="P272" s="472"/>
      <c r="Q272" s="472"/>
      <c r="R272" s="472"/>
      <c r="S272" s="472"/>
      <c r="T272" s="472"/>
      <c r="U272" s="472"/>
      <c r="V272" s="472"/>
      <c r="W272" s="472"/>
      <c r="X272" s="472"/>
      <c r="Y272" s="472"/>
      <c r="Z272" s="472"/>
      <c r="AA272" s="472"/>
      <c r="AB272" s="472"/>
      <c r="AC272" s="472"/>
      <c r="AD272" s="472"/>
      <c r="AE272" s="472"/>
    </row>
    <row r="273" spans="2:31">
      <c r="B273" s="472"/>
      <c r="C273" s="472"/>
      <c r="D273" s="472"/>
      <c r="E273" s="472"/>
      <c r="F273" s="472"/>
      <c r="G273" s="472"/>
      <c r="H273" s="472"/>
      <c r="I273" s="472"/>
      <c r="J273" s="472"/>
      <c r="K273" s="472"/>
      <c r="L273" s="472"/>
      <c r="M273" s="472"/>
      <c r="N273" s="472"/>
      <c r="O273" s="472"/>
      <c r="P273" s="472"/>
      <c r="Q273" s="472"/>
      <c r="R273" s="472"/>
      <c r="S273" s="472"/>
      <c r="T273" s="472"/>
      <c r="U273" s="472"/>
      <c r="V273" s="472"/>
      <c r="W273" s="472"/>
      <c r="X273" s="472"/>
      <c r="Y273" s="472"/>
      <c r="Z273" s="472"/>
      <c r="AA273" s="472"/>
      <c r="AB273" s="472"/>
      <c r="AC273" s="472"/>
      <c r="AD273" s="472"/>
      <c r="AE273" s="472"/>
    </row>
    <row r="274" spans="2:31">
      <c r="B274" s="472"/>
      <c r="C274" s="472"/>
      <c r="D274" s="472"/>
      <c r="E274" s="472"/>
      <c r="F274" s="472"/>
      <c r="G274" s="472"/>
      <c r="H274" s="472"/>
      <c r="I274" s="472"/>
      <c r="J274" s="472"/>
      <c r="K274" s="472"/>
      <c r="L274" s="472"/>
      <c r="M274" s="472"/>
      <c r="N274" s="472"/>
      <c r="O274" s="472"/>
      <c r="P274" s="472"/>
      <c r="Q274" s="472"/>
      <c r="R274" s="472"/>
      <c r="S274" s="472"/>
      <c r="T274" s="472"/>
      <c r="U274" s="472"/>
      <c r="V274" s="472"/>
      <c r="W274" s="472"/>
      <c r="X274" s="472"/>
      <c r="Y274" s="472"/>
      <c r="Z274" s="472"/>
      <c r="AA274" s="472"/>
      <c r="AB274" s="472"/>
      <c r="AC274" s="472"/>
      <c r="AD274" s="472"/>
      <c r="AE274" s="472"/>
    </row>
    <row r="275" spans="2:31">
      <c r="B275" s="472"/>
      <c r="C275" s="472"/>
      <c r="D275" s="472"/>
      <c r="E275" s="472"/>
      <c r="F275" s="472"/>
      <c r="G275" s="472"/>
      <c r="H275" s="472"/>
      <c r="I275" s="472"/>
      <c r="J275" s="472"/>
      <c r="K275" s="472"/>
      <c r="L275" s="472"/>
      <c r="M275" s="472"/>
      <c r="N275" s="472"/>
      <c r="O275" s="472"/>
      <c r="P275" s="472"/>
      <c r="Q275" s="472"/>
      <c r="R275" s="472"/>
      <c r="S275" s="472"/>
      <c r="T275" s="472"/>
      <c r="U275" s="472"/>
      <c r="V275" s="472"/>
      <c r="W275" s="472"/>
      <c r="X275" s="472"/>
      <c r="Y275" s="472"/>
      <c r="Z275" s="472"/>
      <c r="AA275" s="472"/>
      <c r="AB275" s="472"/>
      <c r="AC275" s="472"/>
      <c r="AD275" s="472"/>
      <c r="AE275" s="472"/>
    </row>
    <row r="276" spans="2:31">
      <c r="B276" s="472"/>
      <c r="C276" s="472"/>
      <c r="D276" s="472"/>
      <c r="E276" s="472"/>
      <c r="F276" s="472"/>
      <c r="G276" s="472"/>
      <c r="H276" s="472"/>
      <c r="I276" s="472"/>
      <c r="J276" s="472"/>
      <c r="K276" s="472"/>
      <c r="L276" s="472"/>
      <c r="M276" s="472"/>
      <c r="N276" s="472"/>
      <c r="O276" s="472"/>
      <c r="P276" s="472"/>
      <c r="Q276" s="472"/>
      <c r="R276" s="472"/>
      <c r="S276" s="472"/>
      <c r="T276" s="472"/>
      <c r="U276" s="472"/>
      <c r="V276" s="472"/>
      <c r="W276" s="472"/>
      <c r="X276" s="472"/>
      <c r="Y276" s="472"/>
      <c r="Z276" s="472"/>
      <c r="AA276" s="472"/>
      <c r="AB276" s="472"/>
      <c r="AC276" s="472"/>
      <c r="AD276" s="472"/>
      <c r="AE276" s="472"/>
    </row>
    <row r="277" spans="2:31">
      <c r="B277" s="472"/>
      <c r="C277" s="472"/>
      <c r="D277" s="472"/>
      <c r="E277" s="472"/>
      <c r="F277" s="472"/>
      <c r="G277" s="472"/>
      <c r="H277" s="472"/>
      <c r="I277" s="472"/>
      <c r="J277" s="472"/>
      <c r="K277" s="472"/>
      <c r="L277" s="472"/>
      <c r="M277" s="472"/>
      <c r="N277" s="472"/>
      <c r="O277" s="472"/>
      <c r="P277" s="472"/>
      <c r="Q277" s="472"/>
      <c r="R277" s="472"/>
      <c r="S277" s="472"/>
      <c r="T277" s="472"/>
      <c r="U277" s="472"/>
      <c r="V277" s="472"/>
      <c r="W277" s="472"/>
      <c r="X277" s="472"/>
      <c r="Y277" s="472"/>
      <c r="Z277" s="472"/>
      <c r="AA277" s="472"/>
      <c r="AB277" s="472"/>
      <c r="AC277" s="472"/>
      <c r="AD277" s="472"/>
      <c r="AE277" s="472"/>
    </row>
    <row r="278" spans="2:31">
      <c r="B278" s="472"/>
      <c r="C278" s="472"/>
      <c r="D278" s="472"/>
      <c r="E278" s="472"/>
      <c r="F278" s="472"/>
      <c r="G278" s="472"/>
      <c r="H278" s="472"/>
      <c r="I278" s="472"/>
      <c r="J278" s="472"/>
      <c r="K278" s="472"/>
      <c r="L278" s="472"/>
      <c r="M278" s="472"/>
      <c r="N278" s="472"/>
      <c r="O278" s="472"/>
      <c r="P278" s="472"/>
      <c r="Q278" s="472"/>
      <c r="R278" s="472"/>
      <c r="S278" s="472"/>
      <c r="T278" s="472"/>
      <c r="U278" s="472"/>
      <c r="V278" s="472"/>
      <c r="W278" s="472"/>
      <c r="X278" s="472"/>
      <c r="Y278" s="472"/>
      <c r="Z278" s="472"/>
      <c r="AA278" s="472"/>
      <c r="AB278" s="472"/>
      <c r="AC278" s="472"/>
      <c r="AD278" s="472"/>
      <c r="AE278" s="472"/>
    </row>
    <row r="279" spans="2:31">
      <c r="B279" s="472"/>
      <c r="C279" s="472"/>
      <c r="D279" s="472"/>
      <c r="E279" s="472"/>
      <c r="F279" s="472"/>
      <c r="G279" s="472"/>
      <c r="H279" s="472"/>
      <c r="I279" s="472"/>
      <c r="J279" s="472"/>
      <c r="K279" s="472"/>
      <c r="L279" s="472"/>
      <c r="M279" s="472"/>
      <c r="N279" s="472"/>
      <c r="O279" s="472"/>
      <c r="P279" s="472"/>
      <c r="Q279" s="472"/>
      <c r="R279" s="472"/>
      <c r="S279" s="472"/>
      <c r="T279" s="472"/>
      <c r="U279" s="472"/>
      <c r="V279" s="472"/>
      <c r="W279" s="472"/>
      <c r="X279" s="472"/>
      <c r="Y279" s="472"/>
      <c r="Z279" s="472"/>
      <c r="AA279" s="472"/>
      <c r="AB279" s="472"/>
      <c r="AC279" s="472"/>
      <c r="AD279" s="472"/>
      <c r="AE279" s="472"/>
    </row>
    <row r="280" spans="2:31">
      <c r="B280" s="472"/>
      <c r="C280" s="472"/>
      <c r="D280" s="472"/>
      <c r="E280" s="472"/>
      <c r="F280" s="472"/>
      <c r="G280" s="472"/>
      <c r="H280" s="472"/>
      <c r="I280" s="472"/>
      <c r="J280" s="472"/>
      <c r="K280" s="472"/>
      <c r="L280" s="472"/>
      <c r="M280" s="472"/>
      <c r="N280" s="472"/>
      <c r="O280" s="472"/>
      <c r="P280" s="472"/>
      <c r="Q280" s="472"/>
      <c r="R280" s="472"/>
      <c r="S280" s="472"/>
      <c r="T280" s="472"/>
      <c r="U280" s="472"/>
      <c r="V280" s="472"/>
      <c r="W280" s="472"/>
      <c r="X280" s="472"/>
      <c r="Y280" s="472"/>
      <c r="Z280" s="472"/>
      <c r="AA280" s="472"/>
      <c r="AB280" s="472"/>
      <c r="AC280" s="472"/>
      <c r="AD280" s="472"/>
      <c r="AE280" s="472"/>
    </row>
    <row r="281" spans="2:31">
      <c r="B281" s="472"/>
      <c r="C281" s="472"/>
      <c r="D281" s="472"/>
      <c r="E281" s="472"/>
      <c r="F281" s="472"/>
      <c r="G281" s="472"/>
      <c r="H281" s="472"/>
      <c r="I281" s="472"/>
      <c r="J281" s="472"/>
      <c r="K281" s="472"/>
      <c r="L281" s="472"/>
      <c r="M281" s="472"/>
      <c r="N281" s="472"/>
      <c r="O281" s="472"/>
      <c r="P281" s="472"/>
      <c r="Q281" s="472"/>
      <c r="R281" s="472"/>
      <c r="S281" s="472"/>
      <c r="T281" s="472"/>
      <c r="U281" s="472"/>
      <c r="V281" s="472"/>
      <c r="W281" s="472"/>
      <c r="X281" s="472"/>
      <c r="Y281" s="472"/>
      <c r="Z281" s="472"/>
      <c r="AA281" s="472"/>
      <c r="AB281" s="472"/>
      <c r="AC281" s="472"/>
      <c r="AD281" s="472"/>
      <c r="AE281" s="472"/>
    </row>
    <row r="282" spans="2:31">
      <c r="B282" s="472"/>
      <c r="C282" s="472"/>
      <c r="D282" s="472"/>
      <c r="E282" s="472"/>
      <c r="F282" s="472"/>
      <c r="G282" s="472"/>
      <c r="H282" s="472"/>
      <c r="I282" s="472"/>
      <c r="J282" s="472"/>
      <c r="K282" s="472"/>
      <c r="L282" s="472"/>
      <c r="M282" s="472"/>
      <c r="N282" s="472"/>
      <c r="O282" s="472"/>
      <c r="P282" s="472"/>
      <c r="Q282" s="472"/>
      <c r="R282" s="472"/>
      <c r="S282" s="472"/>
      <c r="T282" s="472"/>
      <c r="U282" s="472"/>
      <c r="V282" s="472"/>
      <c r="W282" s="472"/>
      <c r="X282" s="472"/>
      <c r="Y282" s="472"/>
      <c r="Z282" s="472"/>
      <c r="AA282" s="472"/>
      <c r="AB282" s="472"/>
      <c r="AC282" s="472"/>
      <c r="AD282" s="472"/>
      <c r="AE282" s="472"/>
    </row>
    <row r="283" spans="2:31">
      <c r="B283" s="472"/>
      <c r="C283" s="472"/>
      <c r="D283" s="472"/>
      <c r="E283" s="472"/>
      <c r="F283" s="472"/>
      <c r="G283" s="472"/>
      <c r="H283" s="472"/>
      <c r="I283" s="472"/>
      <c r="J283" s="472"/>
      <c r="K283" s="472"/>
      <c r="L283" s="472"/>
      <c r="M283" s="472"/>
      <c r="N283" s="472"/>
      <c r="O283" s="472"/>
      <c r="P283" s="472"/>
      <c r="Q283" s="472"/>
      <c r="R283" s="472"/>
      <c r="S283" s="472"/>
      <c r="T283" s="472"/>
      <c r="U283" s="472"/>
      <c r="V283" s="472"/>
      <c r="W283" s="472"/>
      <c r="X283" s="472"/>
      <c r="Y283" s="472"/>
      <c r="Z283" s="472"/>
      <c r="AA283" s="472"/>
      <c r="AB283" s="472"/>
      <c r="AC283" s="472"/>
      <c r="AD283" s="472"/>
      <c r="AE283" s="472"/>
    </row>
    <row r="284" spans="2:31">
      <c r="B284" s="472"/>
      <c r="C284" s="472"/>
      <c r="D284" s="472"/>
      <c r="E284" s="472"/>
      <c r="F284" s="472"/>
      <c r="G284" s="472"/>
      <c r="H284" s="472"/>
      <c r="I284" s="472"/>
      <c r="J284" s="472"/>
      <c r="K284" s="472"/>
      <c r="L284" s="472"/>
      <c r="M284" s="472"/>
      <c r="N284" s="472"/>
      <c r="O284" s="472"/>
      <c r="P284" s="472"/>
      <c r="Q284" s="472"/>
      <c r="R284" s="472"/>
      <c r="S284" s="472"/>
      <c r="T284" s="472"/>
      <c r="U284" s="472"/>
      <c r="V284" s="472"/>
      <c r="W284" s="472"/>
      <c r="X284" s="472"/>
      <c r="Y284" s="472"/>
      <c r="Z284" s="472"/>
      <c r="AA284" s="472"/>
      <c r="AB284" s="472"/>
      <c r="AC284" s="472"/>
      <c r="AD284" s="472"/>
      <c r="AE284" s="472"/>
    </row>
    <row r="285" spans="2:31">
      <c r="B285" s="472"/>
      <c r="C285" s="472"/>
      <c r="D285" s="472"/>
      <c r="E285" s="472"/>
      <c r="F285" s="472"/>
      <c r="G285" s="472"/>
      <c r="H285" s="472"/>
      <c r="I285" s="472"/>
      <c r="J285" s="472"/>
      <c r="K285" s="472"/>
      <c r="L285" s="472"/>
      <c r="M285" s="472"/>
      <c r="N285" s="472"/>
      <c r="O285" s="472"/>
      <c r="P285" s="472"/>
      <c r="Q285" s="472"/>
      <c r="R285" s="472"/>
      <c r="S285" s="472"/>
      <c r="T285" s="472"/>
      <c r="U285" s="472"/>
      <c r="V285" s="472"/>
      <c r="W285" s="472"/>
      <c r="X285" s="472"/>
      <c r="Y285" s="472"/>
      <c r="Z285" s="472"/>
      <c r="AA285" s="472"/>
      <c r="AB285" s="472"/>
      <c r="AC285" s="472"/>
      <c r="AD285" s="472"/>
      <c r="AE285" s="472"/>
    </row>
    <row r="286" spans="2:31">
      <c r="B286" s="472"/>
      <c r="C286" s="472"/>
      <c r="D286" s="472"/>
      <c r="E286" s="472"/>
      <c r="F286" s="472"/>
      <c r="G286" s="472"/>
      <c r="H286" s="472"/>
      <c r="I286" s="472"/>
      <c r="J286" s="472"/>
      <c r="K286" s="472"/>
      <c r="L286" s="472"/>
      <c r="M286" s="472"/>
      <c r="N286" s="472"/>
      <c r="O286" s="472"/>
      <c r="P286" s="472"/>
      <c r="Q286" s="472"/>
      <c r="R286" s="472"/>
      <c r="S286" s="472"/>
      <c r="T286" s="472"/>
      <c r="U286" s="472"/>
      <c r="V286" s="472"/>
      <c r="W286" s="472"/>
      <c r="X286" s="472"/>
      <c r="Y286" s="472"/>
      <c r="Z286" s="472"/>
      <c r="AA286" s="472"/>
      <c r="AB286" s="472"/>
      <c r="AC286" s="472"/>
      <c r="AD286" s="472"/>
      <c r="AE286" s="472"/>
    </row>
  </sheetData>
  <sheetProtection sheet="1" objects="1" scenarios="1" selectLockedCells="1"/>
  <mergeCells count="16">
    <mergeCell ref="L39:P40"/>
    <mergeCell ref="K29:P30"/>
    <mergeCell ref="C28:H32"/>
    <mergeCell ref="C36:J37"/>
    <mergeCell ref="C39:J40"/>
    <mergeCell ref="G2:L9"/>
    <mergeCell ref="K32:P35"/>
    <mergeCell ref="K18:M19"/>
    <mergeCell ref="C11:D11"/>
    <mergeCell ref="C14:H16"/>
    <mergeCell ref="C20:H22"/>
    <mergeCell ref="C24:H26"/>
    <mergeCell ref="K11:N13"/>
    <mergeCell ref="K24:P24"/>
    <mergeCell ref="K26:P27"/>
    <mergeCell ref="L15:M1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RMAData!$A$3:$A$117</xm:f>
          </x14:formula1>
          <xm:sqref>D6:E6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BB205"/>
  <sheetViews>
    <sheetView showGridLines="0" zoomScale="85" zoomScaleNormal="85" workbookViewId="0">
      <selection activeCell="D6" sqref="D6:F6"/>
    </sheetView>
  </sheetViews>
  <sheetFormatPr defaultRowHeight="12.75"/>
  <cols>
    <col min="1" max="1" width="2.28515625" style="272" customWidth="1"/>
    <col min="2" max="2" width="1.7109375" style="269" customWidth="1"/>
    <col min="3" max="3" width="29.7109375" style="269" customWidth="1"/>
    <col min="4" max="4" width="14" style="269" customWidth="1"/>
    <col min="5" max="5" width="0.85546875" style="273" customWidth="1"/>
    <col min="6" max="6" width="16.7109375" style="269" customWidth="1"/>
    <col min="7" max="7" width="0.85546875" style="273" customWidth="1"/>
    <col min="8" max="8" width="19.7109375" style="269" customWidth="1"/>
    <col min="9" max="9" width="1.7109375" style="268" customWidth="1"/>
    <col min="10" max="10" width="14.28515625" style="269" customWidth="1"/>
    <col min="11" max="11" width="0.85546875" style="276" customWidth="1"/>
    <col min="12" max="12" width="13.5703125" style="269" customWidth="1"/>
    <col min="13" max="13" width="0.85546875" style="268" customWidth="1"/>
    <col min="14" max="14" width="15.140625" style="269" customWidth="1"/>
    <col min="15" max="15" width="1.7109375" style="268" customWidth="1"/>
    <col min="16" max="39" width="9.140625" style="269"/>
    <col min="40" max="40" width="34.42578125" style="269" bestFit="1" customWidth="1"/>
    <col min="41" max="49" width="9.140625" style="269"/>
    <col min="50" max="50" width="9.85546875" style="269" bestFit="1" customWidth="1"/>
    <col min="51" max="16384" width="9.140625" style="269"/>
  </cols>
  <sheetData>
    <row r="1" spans="1:22" s="250" customFormat="1" ht="18.75" thickBot="1">
      <c r="A1" s="249"/>
      <c r="C1" s="251" t="s">
        <v>219</v>
      </c>
      <c r="J1" s="251" t="s">
        <v>5</v>
      </c>
    </row>
    <row r="2" spans="1:22" s="253" customFormat="1" ht="7.5" customHeight="1" thickTop="1">
      <c r="A2" s="252"/>
    </row>
    <row r="3" spans="1:22" s="264" customFormat="1" ht="15">
      <c r="A3" s="252"/>
      <c r="B3" s="254"/>
      <c r="C3" s="255" t="s">
        <v>217</v>
      </c>
      <c r="D3" s="256"/>
      <c r="E3" s="257"/>
      <c r="F3" s="258"/>
      <c r="G3" s="259"/>
      <c r="H3" s="260"/>
      <c r="I3" s="261"/>
      <c r="J3" s="260"/>
      <c r="K3" s="262"/>
      <c r="L3" s="263"/>
      <c r="M3" s="263"/>
      <c r="N3" s="263"/>
      <c r="O3" s="263"/>
    </row>
    <row r="4" spans="1:22" s="264" customFormat="1" ht="15">
      <c r="A4" s="252"/>
      <c r="B4" s="254"/>
      <c r="C4" s="181" t="s">
        <v>209</v>
      </c>
      <c r="D4" s="265"/>
      <c r="E4" s="266"/>
      <c r="F4" s="260"/>
      <c r="G4" s="266"/>
      <c r="H4" s="260"/>
      <c r="I4" s="261"/>
      <c r="J4" s="33"/>
      <c r="K4" s="33"/>
      <c r="L4" s="267"/>
      <c r="M4" s="267"/>
      <c r="N4" s="267"/>
      <c r="O4" s="268"/>
      <c r="P4" s="269"/>
      <c r="Q4" s="270"/>
      <c r="R4" s="270"/>
      <c r="S4" s="270"/>
      <c r="T4" s="270"/>
      <c r="U4" s="270"/>
      <c r="V4" s="269"/>
    </row>
    <row r="5" spans="1:22" s="264" customFormat="1" ht="6.75" customHeight="1">
      <c r="A5" s="252"/>
      <c r="B5" s="254"/>
      <c r="C5" s="166"/>
      <c r="D5" s="271"/>
      <c r="E5" s="266"/>
      <c r="F5" s="260"/>
      <c r="G5" s="266"/>
      <c r="H5" s="260"/>
      <c r="I5" s="261"/>
      <c r="J5" s="33"/>
      <c r="K5" s="33"/>
      <c r="L5" s="267"/>
      <c r="M5" s="267"/>
      <c r="N5" s="267"/>
      <c r="O5" s="268"/>
      <c r="P5" s="269"/>
      <c r="Q5" s="270"/>
      <c r="R5" s="270"/>
      <c r="S5" s="270"/>
      <c r="T5" s="270"/>
      <c r="U5" s="270"/>
      <c r="V5" s="269"/>
    </row>
    <row r="6" spans="1:22" ht="15">
      <c r="B6" s="273"/>
      <c r="C6" s="167" t="s">
        <v>189</v>
      </c>
      <c r="D6" s="524" t="s">
        <v>42</v>
      </c>
      <c r="E6" s="525"/>
      <c r="F6" s="525"/>
      <c r="G6" s="274"/>
      <c r="H6" s="17"/>
      <c r="I6" s="275"/>
      <c r="L6" s="19"/>
      <c r="M6" s="21"/>
      <c r="Q6" s="270"/>
      <c r="R6" s="270"/>
      <c r="S6" s="270"/>
      <c r="T6" s="270"/>
      <c r="U6" s="270"/>
    </row>
    <row r="7" spans="1:22" ht="6" customHeight="1" thickBot="1">
      <c r="B7" s="273"/>
      <c r="H7" s="17"/>
      <c r="I7" s="275"/>
      <c r="J7" s="264"/>
      <c r="K7" s="54"/>
      <c r="Q7" s="270"/>
      <c r="R7" s="270"/>
      <c r="S7" s="270"/>
      <c r="T7" s="270"/>
      <c r="U7" s="270"/>
    </row>
    <row r="8" spans="1:22" ht="18" thickBot="1">
      <c r="B8" s="273"/>
      <c r="C8" s="277" t="s">
        <v>184</v>
      </c>
      <c r="D8" s="278"/>
      <c r="E8" s="279"/>
      <c r="F8" s="120" t="s">
        <v>0</v>
      </c>
      <c r="G8" s="121"/>
      <c r="H8" s="122" t="s">
        <v>1</v>
      </c>
      <c r="I8" s="275"/>
      <c r="J8" s="526" t="s">
        <v>5</v>
      </c>
      <c r="K8" s="527"/>
      <c r="L8" s="527"/>
      <c r="M8" s="527"/>
      <c r="N8" s="528"/>
      <c r="O8" s="111"/>
      <c r="P8" s="280"/>
      <c r="Q8" s="26"/>
      <c r="R8" s="280"/>
      <c r="S8" s="280"/>
      <c r="T8" s="280"/>
      <c r="U8" s="280"/>
      <c r="V8" s="22"/>
    </row>
    <row r="9" spans="1:22" ht="15.75" thickTop="1">
      <c r="B9" s="273"/>
      <c r="C9" s="49" t="s">
        <v>191</v>
      </c>
      <c r="D9" s="205"/>
      <c r="E9" s="126"/>
      <c r="F9" s="112">
        <v>4</v>
      </c>
      <c r="G9" s="282"/>
      <c r="H9" s="113">
        <v>10</v>
      </c>
      <c r="I9" s="275"/>
      <c r="J9" s="529" t="s">
        <v>186</v>
      </c>
      <c r="K9" s="530"/>
      <c r="L9" s="530"/>
      <c r="M9" s="530"/>
      <c r="N9" s="531"/>
      <c r="O9" s="48"/>
      <c r="P9" s="4"/>
      <c r="Q9" s="270"/>
      <c r="R9" s="4"/>
      <c r="S9" s="4"/>
      <c r="T9" s="4"/>
      <c r="U9" s="4"/>
      <c r="V9" s="4"/>
    </row>
    <row r="10" spans="1:22" ht="12.75" customHeight="1">
      <c r="B10" s="273"/>
      <c r="C10" s="49" t="s">
        <v>192</v>
      </c>
      <c r="D10" s="47"/>
      <c r="E10" s="126"/>
      <c r="F10" s="112">
        <v>4</v>
      </c>
      <c r="G10" s="282"/>
      <c r="H10" s="113">
        <v>10</v>
      </c>
      <c r="I10" s="275"/>
      <c r="J10" s="518" t="s">
        <v>194</v>
      </c>
      <c r="K10" s="174"/>
      <c r="L10" s="520" t="s">
        <v>27</v>
      </c>
      <c r="M10" s="69"/>
      <c r="N10" s="522" t="s">
        <v>30</v>
      </c>
      <c r="O10" s="5"/>
      <c r="P10" s="4"/>
      <c r="Q10" s="270"/>
      <c r="R10" s="4"/>
      <c r="S10" s="4"/>
      <c r="T10" s="4"/>
      <c r="U10" s="4"/>
      <c r="V10" s="4"/>
    </row>
    <row r="11" spans="1:22" ht="15">
      <c r="B11" s="273"/>
      <c r="C11" s="283" t="s">
        <v>193</v>
      </c>
      <c r="D11" s="268"/>
      <c r="E11" s="284"/>
      <c r="F11" s="208">
        <f>AO88</f>
        <v>4</v>
      </c>
      <c r="G11" s="208"/>
      <c r="H11" s="209">
        <f>AP88</f>
        <v>9.5399999999999991</v>
      </c>
      <c r="I11" s="275"/>
      <c r="J11" s="519"/>
      <c r="K11" s="174"/>
      <c r="L11" s="521"/>
      <c r="M11" s="69"/>
      <c r="N11" s="523"/>
      <c r="O11" s="7"/>
      <c r="P11" s="4"/>
      <c r="Q11" s="270"/>
      <c r="R11" s="4"/>
      <c r="S11" s="4"/>
      <c r="T11" s="4"/>
      <c r="U11" s="4"/>
      <c r="V11" s="4"/>
    </row>
    <row r="12" spans="1:22" ht="23.25" customHeight="1" thickBot="1">
      <c r="B12" s="273"/>
      <c r="C12" s="285" t="s">
        <v>183</v>
      </c>
      <c r="D12" s="268"/>
      <c r="E12" s="284"/>
      <c r="F12" s="286"/>
      <c r="G12" s="287"/>
      <c r="H12" s="288"/>
      <c r="I12" s="275"/>
      <c r="J12" s="56"/>
      <c r="K12" s="175"/>
      <c r="L12" s="58"/>
      <c r="M12" s="175"/>
      <c r="N12" s="203"/>
      <c r="O12" s="175"/>
      <c r="P12" s="2"/>
      <c r="Q12" s="289"/>
      <c r="R12" s="2"/>
      <c r="S12" s="2"/>
      <c r="T12" s="2"/>
      <c r="U12" s="2"/>
      <c r="V12" s="2"/>
    </row>
    <row r="13" spans="1:22" ht="15.75" thickTop="1">
      <c r="B13" s="273"/>
      <c r="C13" s="49" t="s">
        <v>171</v>
      </c>
      <c r="D13" s="47"/>
      <c r="E13" s="126"/>
      <c r="F13" s="114">
        <v>180</v>
      </c>
      <c r="G13" s="287"/>
      <c r="H13" s="115">
        <v>50</v>
      </c>
      <c r="J13" s="56"/>
      <c r="K13" s="175"/>
      <c r="L13" s="58"/>
      <c r="M13" s="175"/>
      <c r="N13" s="203"/>
      <c r="O13" s="175"/>
      <c r="P13" s="2"/>
      <c r="Q13" s="291"/>
      <c r="R13" s="2"/>
      <c r="S13" s="2"/>
      <c r="T13" s="2"/>
      <c r="U13" s="2"/>
      <c r="V13" s="2"/>
    </row>
    <row r="14" spans="1:22" ht="15" customHeight="1">
      <c r="B14" s="273"/>
      <c r="C14" s="34" t="s">
        <v>172</v>
      </c>
      <c r="D14" s="47"/>
      <c r="E14" s="126"/>
      <c r="F14" s="114">
        <v>50</v>
      </c>
      <c r="G14" s="287"/>
      <c r="H14" s="288"/>
      <c r="J14" s="56"/>
      <c r="K14" s="175"/>
      <c r="L14" s="212"/>
      <c r="M14" s="31"/>
      <c r="N14" s="213"/>
      <c r="O14" s="175"/>
      <c r="P14" s="2"/>
      <c r="Q14" s="291"/>
      <c r="R14" s="2"/>
      <c r="S14" s="2"/>
      <c r="T14" s="2"/>
      <c r="U14" s="2"/>
      <c r="V14" s="2"/>
    </row>
    <row r="15" spans="1:22" ht="15">
      <c r="B15" s="273"/>
      <c r="C15" s="49" t="s">
        <v>174</v>
      </c>
      <c r="D15" s="47"/>
      <c r="E15" s="126"/>
      <c r="F15" s="197">
        <v>43595</v>
      </c>
      <c r="G15" s="292"/>
      <c r="H15" s="198">
        <v>43595</v>
      </c>
      <c r="J15" s="64"/>
      <c r="K15" s="65"/>
      <c r="L15" s="214">
        <f>F15</f>
        <v>43595</v>
      </c>
      <c r="M15" s="215"/>
      <c r="N15" s="216">
        <f>H15</f>
        <v>43595</v>
      </c>
      <c r="O15" s="293"/>
      <c r="Q15" s="270"/>
      <c r="R15" s="270"/>
      <c r="S15" s="270"/>
      <c r="T15" s="270"/>
      <c r="U15" s="270"/>
    </row>
    <row r="16" spans="1:22" ht="15">
      <c r="B16" s="273"/>
      <c r="C16" s="35" t="s">
        <v>195</v>
      </c>
      <c r="D16" s="36"/>
      <c r="E16" s="126"/>
      <c r="F16" s="210">
        <f ca="1">MIN(F13,IF(AO101="Central and North MO",AO117*F13,AQ117*F13))</f>
        <v>161.28654545098544</v>
      </c>
      <c r="G16" s="210"/>
      <c r="H16" s="211">
        <f ca="1">MIN(H13,IF(AO101="Central and North MO",AP117*H13,AR117*H13))</f>
        <v>49.327210882678628</v>
      </c>
      <c r="J16" s="64"/>
      <c r="K16" s="65"/>
      <c r="L16" s="217"/>
      <c r="M16" s="218"/>
      <c r="N16" s="72"/>
      <c r="Q16" s="270"/>
      <c r="R16" s="270"/>
      <c r="S16" s="270"/>
      <c r="T16" s="270"/>
      <c r="U16" s="270"/>
    </row>
    <row r="17" spans="1:28" ht="15">
      <c r="B17" s="273"/>
      <c r="C17" s="49" t="s">
        <v>196</v>
      </c>
      <c r="D17" s="268"/>
      <c r="E17" s="284"/>
      <c r="F17" s="286"/>
      <c r="G17" s="287"/>
      <c r="H17" s="288"/>
      <c r="I17" s="275"/>
      <c r="J17" s="64">
        <f>F14</f>
        <v>50</v>
      </c>
      <c r="K17" s="65"/>
      <c r="L17" s="70">
        <f ca="1">F16</f>
        <v>161.28654545098544</v>
      </c>
      <c r="M17" s="71"/>
      <c r="N17" s="72">
        <f ca="1">H16</f>
        <v>49.327210882678628</v>
      </c>
      <c r="O17" s="7"/>
      <c r="P17" s="294"/>
      <c r="Q17" s="270"/>
      <c r="R17" s="4"/>
      <c r="S17" s="4"/>
      <c r="T17" s="4"/>
      <c r="U17" s="4"/>
      <c r="V17" s="4"/>
    </row>
    <row r="18" spans="1:28" ht="23.25" customHeight="1" thickBot="1">
      <c r="C18" s="207" t="s">
        <v>19</v>
      </c>
      <c r="D18" s="46"/>
      <c r="E18" s="127"/>
      <c r="F18" s="123"/>
      <c r="G18" s="124"/>
      <c r="H18" s="125"/>
      <c r="J18" s="64"/>
      <c r="K18" s="65"/>
      <c r="L18" s="217"/>
      <c r="M18" s="218"/>
      <c r="N18" s="72"/>
      <c r="Q18" s="270"/>
      <c r="R18" s="270"/>
      <c r="S18" s="270"/>
      <c r="T18" s="270"/>
      <c r="U18" s="270"/>
    </row>
    <row r="19" spans="1:28" ht="29.25" customHeight="1" thickTop="1">
      <c r="C19" s="49" t="s">
        <v>168</v>
      </c>
      <c r="D19" s="205"/>
      <c r="E19" s="514" t="s">
        <v>164</v>
      </c>
      <c r="F19" s="514"/>
      <c r="G19" s="295"/>
      <c r="H19" s="192" t="s">
        <v>164</v>
      </c>
      <c r="J19" s="515" t="str">
        <f>E19</f>
        <v>Revenue Protection</v>
      </c>
      <c r="K19" s="168"/>
      <c r="L19" s="516" t="str">
        <f>E19</f>
        <v>Revenue Protection</v>
      </c>
      <c r="M19" s="219"/>
      <c r="N19" s="517" t="str">
        <f>H19</f>
        <v>Revenue Protection</v>
      </c>
      <c r="O19" s="296"/>
      <c r="Q19" s="270"/>
      <c r="R19" s="270"/>
      <c r="S19" s="270"/>
      <c r="T19" s="270"/>
      <c r="U19" s="270"/>
    </row>
    <row r="20" spans="1:28" ht="15">
      <c r="C20" s="204" t="s">
        <v>18</v>
      </c>
      <c r="D20" s="205"/>
      <c r="E20" s="116"/>
      <c r="F20" s="112">
        <v>25</v>
      </c>
      <c r="G20" s="282"/>
      <c r="H20" s="113">
        <v>15</v>
      </c>
      <c r="J20" s="515"/>
      <c r="K20" s="168"/>
      <c r="L20" s="516"/>
      <c r="M20" s="219"/>
      <c r="N20" s="517"/>
      <c r="O20" s="296"/>
      <c r="Q20" s="270"/>
      <c r="R20" s="270"/>
      <c r="S20" s="270"/>
      <c r="T20" s="270"/>
      <c r="U20" s="270"/>
    </row>
    <row r="21" spans="1:28" ht="15">
      <c r="C21" s="49" t="s">
        <v>197</v>
      </c>
      <c r="D21" s="205"/>
      <c r="E21" s="116"/>
      <c r="F21" s="117">
        <v>1</v>
      </c>
      <c r="G21" s="298"/>
      <c r="H21" s="299">
        <v>1</v>
      </c>
      <c r="J21" s="80" t="str">
        <f>IF($AH$80=3,F21,"")</f>
        <v/>
      </c>
      <c r="K21" s="81"/>
      <c r="L21" s="220" t="str">
        <f>IF($AH$80=3,F21,"")</f>
        <v/>
      </c>
      <c r="M21" s="81"/>
      <c r="N21" s="221" t="str">
        <f>IF($AI$80=3,H21,"")</f>
        <v/>
      </c>
      <c r="O21" s="300"/>
    </row>
    <row r="22" spans="1:28" ht="15">
      <c r="C22" s="49" t="s">
        <v>173</v>
      </c>
      <c r="D22" s="205"/>
      <c r="E22" s="116"/>
      <c r="F22" s="114">
        <v>160</v>
      </c>
      <c r="G22" s="287"/>
      <c r="H22" s="115">
        <v>45</v>
      </c>
      <c r="J22" s="82">
        <f t="shared" ref="J22:J23" si="0">F22</f>
        <v>160</v>
      </c>
      <c r="K22" s="83"/>
      <c r="L22" s="222">
        <f>F22</f>
        <v>160</v>
      </c>
      <c r="M22" s="223"/>
      <c r="N22" s="224">
        <f>H22</f>
        <v>45</v>
      </c>
      <c r="Q22" s="270"/>
      <c r="R22" s="270"/>
      <c r="S22" s="270"/>
      <c r="T22" s="270"/>
      <c r="U22" s="270"/>
    </row>
    <row r="23" spans="1:28" ht="15">
      <c r="C23" s="49" t="s">
        <v>14</v>
      </c>
      <c r="D23" s="205"/>
      <c r="E23" s="116"/>
      <c r="F23" s="117">
        <v>0.85</v>
      </c>
      <c r="G23" s="298"/>
      <c r="H23" s="118">
        <v>0.75</v>
      </c>
      <c r="J23" s="80">
        <f t="shared" si="0"/>
        <v>0.85</v>
      </c>
      <c r="K23" s="81"/>
      <c r="L23" s="220">
        <f>F23</f>
        <v>0.85</v>
      </c>
      <c r="M23" s="81"/>
      <c r="N23" s="221">
        <f>H23</f>
        <v>0.75</v>
      </c>
      <c r="O23" s="300"/>
    </row>
    <row r="24" spans="1:28" ht="15">
      <c r="C24" s="49" t="s">
        <v>15</v>
      </c>
      <c r="D24" s="205"/>
      <c r="E24" s="190"/>
      <c r="F24" s="189">
        <f ca="1">IF(AH80=2,"Not Applicable",IF(F15&lt;$AO95,1,IF(F15&gt;($AO95+AO96),0.6,1-(F15-$AO95)/100))*IF(AH80=1,AO83,F23))</f>
        <v>0.85</v>
      </c>
      <c r="G24" s="129"/>
      <c r="H24" s="130">
        <f ca="1">IF(AI80=2,"Not Applicable",IF(H15&lt;$AP95,1,IF(H15&gt;($AP95+AP96),0.6,1-(H15-$AP95)/100))*IF(AI80=1,AO83,H23))</f>
        <v>0.75</v>
      </c>
      <c r="J24" s="80">
        <f>F23</f>
        <v>0.85</v>
      </c>
      <c r="K24" s="81"/>
      <c r="L24" s="220"/>
      <c r="M24" s="81"/>
      <c r="N24" s="221">
        <f ca="1">H24</f>
        <v>0.75</v>
      </c>
      <c r="O24" s="300"/>
    </row>
    <row r="25" spans="1:28" ht="8.25" customHeight="1">
      <c r="B25" s="273"/>
      <c r="C25" s="301"/>
      <c r="D25" s="268"/>
      <c r="E25" s="276"/>
      <c r="F25" s="268"/>
      <c r="G25" s="276"/>
      <c r="H25" s="302"/>
      <c r="J25" s="225"/>
      <c r="K25" s="226"/>
      <c r="L25" s="227"/>
      <c r="M25" s="228"/>
      <c r="N25" s="229"/>
    </row>
    <row r="26" spans="1:28" s="4" customFormat="1" ht="12.75" customHeight="1">
      <c r="A26" s="272"/>
      <c r="B26" s="273"/>
      <c r="C26" s="172" t="s">
        <v>176</v>
      </c>
      <c r="D26" s="6"/>
      <c r="E26" s="50"/>
      <c r="F26" s="6"/>
      <c r="G26" s="50"/>
      <c r="H26" s="303"/>
      <c r="I26" s="8"/>
      <c r="J26" s="230" t="str">
        <f>"$"&amp;ROUND(IF($AH$80&gt;3,J22*J24*$AO$88,0),2)&amp;"/acre"</f>
        <v>$544/acre</v>
      </c>
      <c r="K26" s="231"/>
      <c r="L26" s="232" t="str">
        <f>"$"&amp;ROUND(IF($AH$80&gt;3,L22*L23*$AO$88,0),2)&amp;"/acre"</f>
        <v>$544/acre</v>
      </c>
      <c r="M26" s="233"/>
      <c r="N26" s="234" t="str">
        <f ca="1">"$"&amp;ROUND(IF($AI$80&gt;3,N22*N24*$AP$88,0),2)&amp;"/acre"</f>
        <v>$321.98/acre</v>
      </c>
      <c r="O26" s="6"/>
      <c r="AA26" s="304"/>
    </row>
    <row r="27" spans="1:28" s="19" customFormat="1">
      <c r="A27" s="305"/>
      <c r="B27" s="306"/>
      <c r="C27" s="307" t="s">
        <v>175</v>
      </c>
      <c r="D27" s="21"/>
      <c r="E27" s="30"/>
      <c r="F27" s="21"/>
      <c r="G27" s="30"/>
      <c r="H27" s="308"/>
      <c r="I27" s="21"/>
      <c r="J27" s="235" t="str">
        <f>ROUND(IF($AH$80=1,$AO$83,IF($AH$80=3,J24,0))*J22,1)&amp;" bu/ac"</f>
        <v>0 bu/ac</v>
      </c>
      <c r="K27" s="236"/>
      <c r="L27" s="237" t="str">
        <f>ROUND(IF($AH$80=1,$AO$83,IF($AH$80=3,L23,0))*L22,1)&amp;" bu/ac"</f>
        <v>0 bu/ac</v>
      </c>
      <c r="M27" s="238"/>
      <c r="N27" s="239" t="str">
        <f>ROUND(IF($AI$80=1,$AO$83,IF($AI$80=3,N24,0))*N22,1)&amp;" bu/ac"</f>
        <v>0 bu/ac</v>
      </c>
      <c r="O27" s="238"/>
      <c r="W27" s="21"/>
      <c r="X27" s="21"/>
      <c r="Y27" s="42"/>
      <c r="AA27" s="289"/>
      <c r="AB27" s="42"/>
    </row>
    <row r="28" spans="1:28" s="19" customFormat="1">
      <c r="A28" s="305"/>
      <c r="B28" s="306"/>
      <c r="C28" s="307" t="s">
        <v>177</v>
      </c>
      <c r="D28" s="21"/>
      <c r="E28" s="30"/>
      <c r="F28" s="296"/>
      <c r="G28" s="30"/>
      <c r="H28" s="308"/>
      <c r="I28" s="21"/>
      <c r="J28" s="240" t="str">
        <f>"$"&amp;ROUND(IF($AH$80=1,$AP$83,IF($AH$80=3,J21,0))*$AO$88,2)&amp;"/bushel"</f>
        <v>$0/bushel</v>
      </c>
      <c r="K28" s="241"/>
      <c r="L28" s="242" t="str">
        <f>"$"&amp;ROUND(IF($AH$80=1,$AP$83,IF($AH$80=3,L21,0))*$AO$88,2)&amp;"/bushel"</f>
        <v>$0/bushel</v>
      </c>
      <c r="M28" s="243"/>
      <c r="N28" s="244" t="str">
        <f>"$"&amp;ROUND(IF($AI$80=1,$AP$83,IF($AI$80=3,N21,0))*$AP$88,2)&amp;"/bushel"</f>
        <v>$0/bushel</v>
      </c>
      <c r="O28" s="21"/>
    </row>
    <row r="29" spans="1:28" s="2" customFormat="1" ht="23.25" customHeight="1" thickBot="1">
      <c r="A29" s="252"/>
      <c r="B29" s="254"/>
      <c r="C29" s="512" t="s">
        <v>29</v>
      </c>
      <c r="D29" s="513"/>
      <c r="E29" s="88"/>
      <c r="F29" s="6"/>
      <c r="G29" s="50"/>
      <c r="H29" s="303"/>
      <c r="I29" s="8"/>
      <c r="J29" s="245"/>
      <c r="K29" s="67"/>
      <c r="L29" s="246"/>
      <c r="M29" s="247"/>
      <c r="N29" s="248"/>
      <c r="O29" s="8"/>
    </row>
    <row r="30" spans="1:28" s="2" customFormat="1" ht="15.75" thickTop="1">
      <c r="A30" s="272"/>
      <c r="B30" s="273"/>
      <c r="C30" s="204" t="s">
        <v>17</v>
      </c>
      <c r="D30" s="205"/>
      <c r="E30" s="84"/>
      <c r="F30" s="8"/>
      <c r="G30" s="31"/>
      <c r="H30" s="12"/>
      <c r="I30" s="9"/>
      <c r="J30" s="428"/>
      <c r="K30" s="67"/>
      <c r="L30" s="429"/>
      <c r="M30" s="37"/>
      <c r="N30" s="94">
        <v>12</v>
      </c>
      <c r="O30" s="8"/>
    </row>
    <row r="31" spans="1:28" s="2" customFormat="1" ht="12.75" customHeight="1">
      <c r="A31" s="272"/>
      <c r="B31" s="273"/>
      <c r="C31" s="73" t="s">
        <v>23</v>
      </c>
      <c r="D31" s="46"/>
      <c r="E31" s="77"/>
      <c r="F31" s="205"/>
      <c r="G31" s="84"/>
      <c r="H31" s="12"/>
      <c r="I31" s="8"/>
      <c r="J31" s="310"/>
      <c r="K31" s="67"/>
      <c r="M31" s="247"/>
      <c r="N31" s="311"/>
      <c r="O31" s="8"/>
    </row>
    <row r="32" spans="1:28" s="2" customFormat="1" ht="12.75" customHeight="1">
      <c r="A32" s="272"/>
      <c r="B32" s="273"/>
      <c r="C32" s="34" t="s">
        <v>181</v>
      </c>
      <c r="D32" s="173"/>
      <c r="E32" s="84"/>
      <c r="F32" s="8"/>
      <c r="G32" s="31"/>
      <c r="H32" s="12"/>
      <c r="I32" s="8"/>
      <c r="J32" s="430"/>
      <c r="K32" s="313"/>
      <c r="L32" s="433">
        <v>63</v>
      </c>
      <c r="M32" s="37"/>
      <c r="N32" s="102">
        <v>39</v>
      </c>
      <c r="O32" s="11"/>
      <c r="Q32" s="291"/>
    </row>
    <row r="33" spans="1:18" s="2" customFormat="1" ht="15">
      <c r="A33" s="272"/>
      <c r="B33" s="273"/>
      <c r="C33" s="204" t="s">
        <v>2</v>
      </c>
      <c r="D33" s="205"/>
      <c r="E33" s="84"/>
      <c r="F33" s="8"/>
      <c r="G33" s="31"/>
      <c r="H33" s="12"/>
      <c r="I33" s="8"/>
      <c r="J33" s="93"/>
      <c r="K33" s="313"/>
      <c r="L33" s="429"/>
      <c r="M33" s="37"/>
      <c r="N33" s="94"/>
      <c r="O33" s="11"/>
      <c r="Q33" s="291"/>
    </row>
    <row r="34" spans="1:18" s="2" customFormat="1" ht="15">
      <c r="A34" s="272"/>
      <c r="B34" s="273"/>
      <c r="C34" s="49" t="s">
        <v>185</v>
      </c>
      <c r="D34" s="205"/>
      <c r="E34" s="84"/>
      <c r="F34" s="8"/>
      <c r="G34" s="31"/>
      <c r="H34" s="12"/>
      <c r="I34" s="8"/>
      <c r="J34" s="93"/>
      <c r="K34" s="313"/>
      <c r="L34" s="429">
        <v>15</v>
      </c>
      <c r="M34" s="37"/>
      <c r="N34" s="94">
        <v>16</v>
      </c>
      <c r="O34" s="11"/>
      <c r="Q34" s="291"/>
    </row>
    <row r="35" spans="1:18" s="2" customFormat="1" ht="15">
      <c r="A35" s="272"/>
      <c r="B35" s="269"/>
      <c r="C35" s="204" t="s">
        <v>3</v>
      </c>
      <c r="D35" s="205"/>
      <c r="E35" s="84"/>
      <c r="F35" s="8"/>
      <c r="G35" s="31"/>
      <c r="H35" s="12"/>
      <c r="I35" s="8"/>
      <c r="J35" s="93"/>
      <c r="K35" s="313"/>
      <c r="L35" s="429">
        <v>3</v>
      </c>
      <c r="M35" s="37"/>
      <c r="N35" s="94">
        <v>5</v>
      </c>
      <c r="O35" s="11"/>
      <c r="Q35" s="291"/>
    </row>
    <row r="36" spans="1:18" s="2" customFormat="1" ht="15">
      <c r="A36" s="272"/>
      <c r="B36" s="269"/>
      <c r="C36" s="204" t="s">
        <v>4</v>
      </c>
      <c r="D36" s="205"/>
      <c r="E36" s="84"/>
      <c r="F36" s="8"/>
      <c r="G36" s="31"/>
      <c r="H36" s="12"/>
      <c r="I36" s="8"/>
      <c r="J36" s="431"/>
      <c r="K36" s="39"/>
      <c r="L36" s="429">
        <v>2</v>
      </c>
      <c r="M36" s="37"/>
      <c r="N36" s="94">
        <v>3</v>
      </c>
      <c r="O36" s="10"/>
      <c r="Q36" s="291"/>
    </row>
    <row r="37" spans="1:18" s="2" customFormat="1" ht="15">
      <c r="A37" s="272"/>
      <c r="B37" s="269"/>
      <c r="C37" s="506" t="s">
        <v>16</v>
      </c>
      <c r="D37" s="507"/>
      <c r="E37" s="507"/>
      <c r="F37" s="507"/>
      <c r="G37" s="507"/>
      <c r="H37" s="508"/>
      <c r="I37" s="8"/>
      <c r="J37" s="428"/>
      <c r="K37" s="67"/>
      <c r="L37" s="429"/>
      <c r="M37" s="37"/>
      <c r="N37" s="94"/>
      <c r="O37" s="31"/>
      <c r="Q37" s="291"/>
    </row>
    <row r="38" spans="1:18" s="319" customFormat="1" ht="15">
      <c r="A38" s="272"/>
      <c r="B38" s="273"/>
      <c r="C38" s="76" t="s">
        <v>24</v>
      </c>
      <c r="D38" s="85" t="s">
        <v>36</v>
      </c>
      <c r="E38" s="85"/>
      <c r="F38" s="317" t="s">
        <v>35</v>
      </c>
      <c r="G38" s="317"/>
      <c r="H38" s="100" t="s">
        <v>1</v>
      </c>
      <c r="I38" s="31"/>
      <c r="J38" s="318"/>
      <c r="K38" s="39"/>
      <c r="L38" s="101"/>
      <c r="M38" s="59"/>
      <c r="N38" s="311"/>
      <c r="O38" s="10"/>
      <c r="Q38" s="320"/>
    </row>
    <row r="39" spans="1:18" s="2" customFormat="1" ht="15">
      <c r="A39" s="272"/>
      <c r="B39" s="269"/>
      <c r="C39" s="20" t="s">
        <v>188</v>
      </c>
      <c r="D39" s="87">
        <v>0.25</v>
      </c>
      <c r="E39" s="322"/>
      <c r="F39" s="87">
        <v>0.3</v>
      </c>
      <c r="G39" s="322"/>
      <c r="H39" s="63">
        <v>0.05</v>
      </c>
      <c r="I39" s="8"/>
      <c r="J39" s="230">
        <f>D39*J17</f>
        <v>12.5</v>
      </c>
      <c r="K39" s="231"/>
      <c r="L39" s="232">
        <f ca="1">F39*L17</f>
        <v>48.385963635295631</v>
      </c>
      <c r="M39" s="233"/>
      <c r="N39" s="234">
        <f ca="1">H39*N17</f>
        <v>2.4663605441339316</v>
      </c>
      <c r="O39" s="14"/>
      <c r="Q39" s="291"/>
    </row>
    <row r="40" spans="1:18" s="2" customFormat="1" ht="15">
      <c r="A40" s="272"/>
      <c r="B40" s="269"/>
      <c r="C40" s="204" t="s">
        <v>3</v>
      </c>
      <c r="D40" s="205"/>
      <c r="E40" s="84"/>
      <c r="F40" s="8"/>
      <c r="G40" s="31"/>
      <c r="H40" s="12"/>
      <c r="I40" s="8"/>
      <c r="J40" s="99">
        <v>11</v>
      </c>
      <c r="K40" s="313"/>
      <c r="L40" s="429">
        <v>11</v>
      </c>
      <c r="M40" s="37"/>
      <c r="N40" s="94">
        <v>6</v>
      </c>
      <c r="O40" s="11"/>
      <c r="Q40" s="291"/>
    </row>
    <row r="41" spans="1:18" s="2" customFormat="1" ht="15">
      <c r="A41" s="272"/>
      <c r="B41" s="269"/>
      <c r="C41" s="204" t="s">
        <v>16</v>
      </c>
      <c r="D41" s="8"/>
      <c r="E41" s="31"/>
      <c r="F41" s="8"/>
      <c r="G41" s="31"/>
      <c r="H41" s="12"/>
      <c r="I41" s="8"/>
      <c r="J41" s="99"/>
      <c r="K41" s="313"/>
      <c r="L41" s="429"/>
      <c r="M41" s="37"/>
      <c r="N41" s="94"/>
      <c r="O41" s="11"/>
      <c r="Q41" s="291"/>
    </row>
    <row r="42" spans="1:18" s="330" customFormat="1" ht="12.75" customHeight="1">
      <c r="A42" s="323"/>
      <c r="B42" s="324"/>
      <c r="C42" s="3" t="s">
        <v>4</v>
      </c>
      <c r="D42" s="8"/>
      <c r="E42" s="31"/>
      <c r="F42" s="325"/>
      <c r="G42" s="326"/>
      <c r="H42" s="327"/>
      <c r="I42" s="108"/>
      <c r="J42" s="432">
        <v>15</v>
      </c>
      <c r="K42" s="68"/>
      <c r="L42" s="434">
        <v>15</v>
      </c>
      <c r="M42" s="37"/>
      <c r="N42" s="66">
        <v>10</v>
      </c>
      <c r="O42" s="38"/>
      <c r="Q42" s="291"/>
      <c r="R42" s="2"/>
    </row>
    <row r="43" spans="1:18" s="338" customFormat="1" ht="15.75" thickBot="1">
      <c r="A43" s="331"/>
      <c r="B43" s="332"/>
      <c r="C43" s="152" t="s">
        <v>21</v>
      </c>
      <c r="D43" s="333"/>
      <c r="E43" s="334"/>
      <c r="F43" s="335"/>
      <c r="G43" s="336"/>
      <c r="H43" s="337"/>
      <c r="I43" s="143"/>
      <c r="J43" s="153">
        <f>SUM(J30:J42)</f>
        <v>38.5</v>
      </c>
      <c r="K43" s="154"/>
      <c r="L43" s="110">
        <f ca="1">SUM(L30:L42)</f>
        <v>157.38596363529564</v>
      </c>
      <c r="M43" s="154"/>
      <c r="N43" s="107">
        <f ca="1">SUM(N30:N42)</f>
        <v>93.466360544133934</v>
      </c>
      <c r="O43" s="154"/>
    </row>
    <row r="44" spans="1:18" s="2" customFormat="1" ht="13.5" thickTop="1">
      <c r="A44" s="272"/>
      <c r="B44" s="269"/>
      <c r="C44" s="339"/>
      <c r="D44" s="325"/>
      <c r="E44" s="326"/>
      <c r="F44" s="8"/>
      <c r="G44" s="31"/>
      <c r="H44" s="12"/>
      <c r="I44" s="8"/>
      <c r="J44" s="57"/>
      <c r="K44" s="39"/>
      <c r="L44" s="340"/>
      <c r="M44" s="341"/>
      <c r="N44" s="342"/>
      <c r="O44" s="39"/>
      <c r="Q44" s="291"/>
    </row>
    <row r="45" spans="1:18" s="2" customFormat="1">
      <c r="A45" s="272"/>
      <c r="B45" s="269"/>
      <c r="C45" s="3" t="s">
        <v>20</v>
      </c>
      <c r="D45" s="8"/>
      <c r="E45" s="31"/>
      <c r="F45" s="8"/>
      <c r="G45" s="31"/>
      <c r="H45" s="12"/>
      <c r="I45" s="8"/>
      <c r="J45" s="131">
        <f>J17*$F9</f>
        <v>200</v>
      </c>
      <c r="K45" s="78"/>
      <c r="L45" s="132">
        <f ca="1">L17*$F9</f>
        <v>645.14618180394177</v>
      </c>
      <c r="M45" s="133"/>
      <c r="N45" s="79">
        <f ca="1">N17*$H9</f>
        <v>493.27210882678628</v>
      </c>
      <c r="O45" s="133"/>
      <c r="Q45" s="291"/>
    </row>
    <row r="46" spans="1:18" s="2" customFormat="1">
      <c r="A46" s="272"/>
      <c r="B46" s="269"/>
      <c r="C46" s="3" t="s">
        <v>7</v>
      </c>
      <c r="D46" s="8"/>
      <c r="E46" s="31"/>
      <c r="F46" s="8"/>
      <c r="G46" s="31"/>
      <c r="H46" s="12"/>
      <c r="I46" s="8"/>
      <c r="J46" s="131">
        <f>CHOOSE($AH$80,J81,0,J83,J84,J85)</f>
        <v>344</v>
      </c>
      <c r="K46" s="78"/>
      <c r="L46" s="132">
        <f ca="1">CHOOSE($AH$80,L81,0,L83,L84,L85)</f>
        <v>0</v>
      </c>
      <c r="M46" s="133"/>
      <c r="N46" s="79">
        <f ca="1">IF(AI80=2,J46,IF(0.65*J46&gt;CHOOSE($AI$80,N81,N82,N83,N84,N85),J46,0.35*J46+IF(AH80&gt;2,0.65*F20,0)))</f>
        <v>344</v>
      </c>
      <c r="O46" s="62"/>
      <c r="Q46" s="289"/>
    </row>
    <row r="47" spans="1:18" s="2" customFormat="1">
      <c r="A47" s="272"/>
      <c r="B47" s="269"/>
      <c r="C47" s="3" t="s">
        <v>6</v>
      </c>
      <c r="D47" s="8"/>
      <c r="E47" s="31"/>
      <c r="F47" s="8"/>
      <c r="G47" s="31"/>
      <c r="H47" s="12"/>
      <c r="I47" s="8"/>
      <c r="J47" s="131"/>
      <c r="K47" s="78"/>
      <c r="L47" s="132"/>
      <c r="M47" s="133"/>
      <c r="N47" s="79">
        <f ca="1">IF(N30&gt;0,IF(CHOOSE($AI$80,N81,N82,N83,N84,N85)&gt;0.65*J46,CHOOSE($AI$80,N81,N82,N83,N84,N85),0),0)</f>
        <v>0</v>
      </c>
      <c r="O47" s="133"/>
      <c r="Q47" s="291"/>
    </row>
    <row r="48" spans="1:18" s="343" customFormat="1" ht="15">
      <c r="A48" s="305"/>
      <c r="B48" s="19"/>
      <c r="C48" s="89" t="s">
        <v>8</v>
      </c>
      <c r="D48" s="90"/>
      <c r="E48" s="91"/>
      <c r="F48" s="90"/>
      <c r="G48" s="91"/>
      <c r="H48" s="92"/>
      <c r="I48" s="21"/>
      <c r="J48" s="134"/>
      <c r="K48" s="135"/>
      <c r="L48" s="136">
        <f>IF(AH80&gt;2,IF(F14&lt;0.9*F22,MIN(SUM(L32:L37),8*AO88*IF(AH80=3,F21,1))),0)</f>
        <v>32</v>
      </c>
      <c r="M48" s="137"/>
      <c r="N48" s="138"/>
      <c r="O48" s="139"/>
      <c r="Q48" s="291"/>
      <c r="R48" s="2"/>
    </row>
    <row r="49" spans="1:18" s="343" customFormat="1" ht="15.75" thickBot="1">
      <c r="A49" s="272"/>
      <c r="B49" s="269"/>
      <c r="C49" s="105" t="s">
        <v>22</v>
      </c>
      <c r="D49" s="103"/>
      <c r="E49" s="104"/>
      <c r="F49" s="103"/>
      <c r="G49" s="104"/>
      <c r="H49" s="106"/>
      <c r="I49" s="109"/>
      <c r="J49" s="140">
        <f>SUM(J45:J48)</f>
        <v>544</v>
      </c>
      <c r="K49" s="141"/>
      <c r="L49" s="142">
        <f t="shared" ref="L49:N49" ca="1" si="1">SUM(L45:L48)</f>
        <v>677.14618180394177</v>
      </c>
      <c r="M49" s="143"/>
      <c r="N49" s="144">
        <f t="shared" ca="1" si="1"/>
        <v>837.27210882678628</v>
      </c>
      <c r="O49" s="143"/>
      <c r="Q49" s="291"/>
      <c r="R49" s="2"/>
    </row>
    <row r="50" spans="1:18" s="338" customFormat="1" ht="16.5" thickTop="1" thickBot="1">
      <c r="A50" s="331"/>
      <c r="B50" s="332"/>
      <c r="C50" s="156" t="s">
        <v>28</v>
      </c>
      <c r="D50" s="157"/>
      <c r="E50" s="158"/>
      <c r="F50" s="157"/>
      <c r="G50" s="158"/>
      <c r="H50" s="159"/>
      <c r="I50" s="143"/>
      <c r="J50" s="160">
        <f>J49-J43</f>
        <v>505.5</v>
      </c>
      <c r="K50" s="161"/>
      <c r="L50" s="162">
        <f ca="1">IF(F15&lt;AO97,NA(),L49-L43)</f>
        <v>519.76021816864613</v>
      </c>
      <c r="M50" s="163"/>
      <c r="N50" s="164">
        <f ca="1">IF(H15&lt;AP97,NA(),N49-N43)</f>
        <v>743.8057482826523</v>
      </c>
      <c r="O50" s="143"/>
    </row>
    <row r="51" spans="1:18" s="2" customFormat="1">
      <c r="A51" s="272"/>
      <c r="B51" s="269"/>
      <c r="C51" s="43"/>
      <c r="D51" s="24"/>
      <c r="E51" s="86"/>
      <c r="F51" s="8"/>
      <c r="G51" s="31"/>
      <c r="H51" s="8"/>
      <c r="I51" s="8"/>
      <c r="J51" s="44"/>
      <c r="K51" s="61"/>
      <c r="L51" s="44"/>
      <c r="M51" s="44"/>
      <c r="N51" s="16"/>
      <c r="O51" s="16"/>
      <c r="Q51" s="291"/>
    </row>
    <row r="52" spans="1:18" ht="14.25">
      <c r="C52" s="280"/>
      <c r="D52" s="280"/>
      <c r="E52" s="344"/>
      <c r="J52" s="345"/>
      <c r="K52" s="346"/>
      <c r="L52" s="345"/>
      <c r="M52" s="43"/>
      <c r="N52" s="345"/>
      <c r="O52" s="43"/>
      <c r="Q52" s="291"/>
      <c r="R52" s="2"/>
    </row>
    <row r="53" spans="1:18" ht="14.25">
      <c r="C53" s="280"/>
      <c r="D53" s="280"/>
      <c r="E53" s="344"/>
      <c r="J53" s="347"/>
      <c r="K53" s="348"/>
      <c r="L53" s="347"/>
      <c r="M53" s="349"/>
      <c r="N53" s="347"/>
      <c r="Q53" s="291"/>
      <c r="R53" s="2"/>
    </row>
    <row r="54" spans="1:18" ht="14.25">
      <c r="C54" s="280"/>
      <c r="D54" s="280"/>
      <c r="E54" s="344"/>
      <c r="Q54" s="291"/>
      <c r="R54" s="2"/>
    </row>
    <row r="55" spans="1:18" s="350" customFormat="1" ht="14.25">
      <c r="A55" s="272"/>
      <c r="C55" s="351"/>
      <c r="D55" s="351"/>
      <c r="E55" s="351"/>
      <c r="F55" s="352"/>
      <c r="G55" s="352"/>
      <c r="H55" s="352"/>
      <c r="I55" s="353"/>
      <c r="J55" s="352"/>
      <c r="K55" s="353"/>
      <c r="L55" s="352"/>
      <c r="M55" s="354"/>
      <c r="O55" s="354"/>
      <c r="Q55" s="355"/>
      <c r="R55" s="356"/>
    </row>
    <row r="56" spans="1:18">
      <c r="Q56" s="291"/>
      <c r="R56" s="2"/>
    </row>
    <row r="57" spans="1:18">
      <c r="Q57" s="291"/>
      <c r="R57" s="2"/>
    </row>
    <row r="58" spans="1:18">
      <c r="Q58" s="291"/>
      <c r="R58" s="2"/>
    </row>
    <row r="59" spans="1:18">
      <c r="Q59" s="291"/>
      <c r="R59" s="2"/>
    </row>
    <row r="60" spans="1:18">
      <c r="Q60" s="291"/>
      <c r="R60" s="2"/>
    </row>
    <row r="61" spans="1:18">
      <c r="Q61" s="291"/>
      <c r="R61" s="2"/>
    </row>
    <row r="62" spans="1:18">
      <c r="Q62" s="291"/>
      <c r="R62" s="2"/>
    </row>
    <row r="63" spans="1:18">
      <c r="Q63" s="291"/>
      <c r="R63" s="2"/>
    </row>
    <row r="64" spans="1:18">
      <c r="Q64" s="291"/>
      <c r="R64" s="2"/>
    </row>
    <row r="65" spans="1:43">
      <c r="Q65" s="291"/>
      <c r="R65" s="2"/>
    </row>
    <row r="66" spans="1:43">
      <c r="B66" s="17"/>
      <c r="Q66" s="291"/>
      <c r="R66" s="2"/>
    </row>
    <row r="67" spans="1:43" s="357" customFormat="1">
      <c r="A67" s="272"/>
      <c r="B67" s="276"/>
      <c r="Q67" s="358"/>
    </row>
    <row r="68" spans="1:43" s="19" customFormat="1">
      <c r="A68" s="272"/>
      <c r="B68" s="276"/>
      <c r="Q68" s="291"/>
      <c r="R68" s="2"/>
    </row>
    <row r="69" spans="1:43" s="19" customFormat="1">
      <c r="A69" s="305"/>
      <c r="B69" s="306"/>
      <c r="C69" s="52"/>
      <c r="D69" s="52"/>
      <c r="E69" s="52"/>
      <c r="F69" s="30"/>
      <c r="G69" s="30"/>
      <c r="H69" s="30"/>
      <c r="I69" s="30"/>
      <c r="J69" s="30"/>
      <c r="K69" s="30"/>
      <c r="L69" s="30"/>
      <c r="M69" s="30"/>
      <c r="N69" s="30"/>
      <c r="O69" s="30"/>
      <c r="P69" s="30"/>
      <c r="Q69" s="291"/>
      <c r="R69" s="2"/>
      <c r="S69" s="269"/>
      <c r="AC69" s="269"/>
      <c r="AD69" s="269"/>
      <c r="AE69" s="269"/>
      <c r="AF69" s="269"/>
      <c r="AG69" s="269"/>
      <c r="AH69" s="269"/>
    </row>
    <row r="70" spans="1:43" s="19" customFormat="1" ht="14.25">
      <c r="A70" s="305"/>
      <c r="B70" s="306"/>
      <c r="C70" s="53"/>
      <c r="D70" s="53"/>
      <c r="E70" s="53"/>
      <c r="F70" s="30"/>
      <c r="G70" s="30"/>
      <c r="H70" s="30"/>
      <c r="I70" s="30"/>
      <c r="J70" s="30"/>
      <c r="K70" s="30"/>
      <c r="L70" s="30"/>
      <c r="M70" s="30"/>
      <c r="N70" s="30"/>
      <c r="O70" s="30"/>
      <c r="P70" s="30"/>
      <c r="Q70" s="291"/>
      <c r="R70" s="2"/>
      <c r="S70" s="269"/>
      <c r="T70" s="269"/>
      <c r="U70" s="269"/>
      <c r="V70" s="269"/>
      <c r="W70" s="269"/>
      <c r="X70" s="269"/>
      <c r="Y70" s="269"/>
      <c r="Z70" s="269"/>
      <c r="AB70" s="269"/>
      <c r="AC70" s="269"/>
      <c r="AD70" s="269"/>
      <c r="AE70" s="269"/>
      <c r="AF70" s="269"/>
      <c r="AG70" s="26"/>
      <c r="AH70" s="359"/>
      <c r="AI70" s="359"/>
      <c r="AJ70" s="26"/>
    </row>
    <row r="71" spans="1:43" s="264" customFormat="1">
      <c r="A71" s="252"/>
      <c r="B71" s="254"/>
      <c r="C71" s="509"/>
      <c r="D71" s="509"/>
      <c r="E71" s="509"/>
      <c r="F71" s="509"/>
      <c r="G71" s="206"/>
      <c r="H71" s="54"/>
      <c r="I71" s="54"/>
      <c r="J71" s="54"/>
      <c r="K71" s="54"/>
      <c r="L71" s="360"/>
      <c r="M71" s="360"/>
      <c r="N71" s="54"/>
      <c r="O71" s="54"/>
      <c r="P71" s="54"/>
      <c r="Q71" s="291"/>
      <c r="R71" s="2"/>
      <c r="S71" s="269"/>
      <c r="T71" s="269"/>
      <c r="U71" s="269"/>
      <c r="V71" s="269"/>
      <c r="W71" s="269"/>
      <c r="X71" s="269"/>
      <c r="Y71" s="269"/>
      <c r="Z71" s="269"/>
      <c r="AB71" s="269"/>
      <c r="AC71" s="269"/>
      <c r="AD71" s="269"/>
      <c r="AE71" s="269"/>
      <c r="AG71" s="270"/>
      <c r="AH71" s="359"/>
      <c r="AI71" s="359"/>
      <c r="AJ71" s="270"/>
      <c r="AQ71" s="269"/>
    </row>
    <row r="72" spans="1:43">
      <c r="B72" s="273"/>
      <c r="C72" s="276"/>
      <c r="D72" s="276"/>
      <c r="E72" s="276"/>
      <c r="F72" s="276"/>
      <c r="G72" s="276"/>
      <c r="H72" s="276"/>
      <c r="I72" s="276"/>
      <c r="J72" s="276"/>
      <c r="L72" s="276"/>
      <c r="M72" s="276"/>
      <c r="N72" s="276"/>
      <c r="O72" s="276"/>
      <c r="P72" s="276"/>
      <c r="Q72" s="291"/>
      <c r="R72" s="2"/>
      <c r="X72" s="264"/>
      <c r="AG72" s="270"/>
      <c r="AH72" s="359"/>
      <c r="AI72" s="359"/>
      <c r="AJ72" s="270"/>
    </row>
    <row r="73" spans="1:43">
      <c r="B73" s="273"/>
      <c r="C73" s="276"/>
      <c r="D73" s="276"/>
      <c r="E73" s="276"/>
      <c r="F73" s="276"/>
      <c r="G73" s="276"/>
      <c r="H73" s="276"/>
      <c r="I73" s="276"/>
      <c r="J73" s="276"/>
      <c r="L73" s="276"/>
      <c r="M73" s="276"/>
      <c r="N73" s="276"/>
      <c r="O73" s="276"/>
      <c r="P73" s="276"/>
      <c r="Q73" s="291"/>
      <c r="R73" s="2"/>
      <c r="U73" s="361"/>
      <c r="X73" s="264"/>
      <c r="AG73" s="270"/>
      <c r="AH73" s="359"/>
      <c r="AI73" s="359"/>
      <c r="AJ73" s="270"/>
      <c r="AQ73" s="362"/>
    </row>
    <row r="74" spans="1:43">
      <c r="B74" s="273"/>
      <c r="C74" s="276"/>
      <c r="D74" s="276"/>
      <c r="E74" s="276"/>
      <c r="F74" s="276"/>
      <c r="G74" s="276"/>
      <c r="H74" s="276"/>
      <c r="I74" s="276"/>
      <c r="J74" s="276"/>
      <c r="L74" s="276"/>
      <c r="M74" s="276"/>
      <c r="N74" s="276"/>
      <c r="O74" s="276"/>
      <c r="P74" s="276"/>
      <c r="Q74" s="291"/>
      <c r="R74" s="2"/>
      <c r="U74" s="361"/>
      <c r="AF74" s="363"/>
      <c r="AG74" s="363"/>
      <c r="AH74" s="179"/>
      <c r="AI74" s="364"/>
      <c r="AJ74" s="363"/>
      <c r="AK74" s="363"/>
      <c r="AN74" s="362"/>
      <c r="AQ74" s="268"/>
    </row>
    <row r="75" spans="1:43">
      <c r="B75" s="273"/>
      <c r="C75" s="365"/>
      <c r="D75" s="365"/>
      <c r="E75" s="365"/>
      <c r="F75" s="366"/>
      <c r="G75" s="366"/>
      <c r="H75" s="366"/>
      <c r="I75" s="366"/>
      <c r="J75" s="366"/>
      <c r="K75" s="366"/>
      <c r="L75" s="366"/>
      <c r="M75" s="366"/>
      <c r="N75" s="366"/>
      <c r="O75" s="276"/>
      <c r="P75" s="276"/>
      <c r="Q75" s="291"/>
      <c r="R75" s="2"/>
      <c r="T75" s="345"/>
      <c r="U75" s="345"/>
      <c r="V75" s="345"/>
      <c r="W75" s="345"/>
      <c r="X75" s="345"/>
      <c r="Y75" s="345"/>
      <c r="Z75" s="345"/>
      <c r="AA75" s="345"/>
      <c r="AB75" s="345"/>
      <c r="AF75" s="367"/>
      <c r="AG75" s="363"/>
      <c r="AH75" s="363"/>
      <c r="AI75" s="363"/>
      <c r="AJ75" s="363"/>
      <c r="AK75" s="363"/>
      <c r="AQ75" s="268"/>
    </row>
    <row r="76" spans="1:43" ht="12.75" customHeight="1">
      <c r="B76" s="273"/>
      <c r="Q76" s="291"/>
      <c r="R76" s="2"/>
      <c r="U76" s="361"/>
      <c r="AF76" s="363"/>
      <c r="AG76" s="363"/>
      <c r="AJ76" s="363"/>
      <c r="AK76" s="363"/>
      <c r="AQ76" s="268"/>
    </row>
    <row r="77" spans="1:43">
      <c r="B77" s="273"/>
      <c r="Q77" s="291"/>
      <c r="R77" s="2"/>
      <c r="T77" s="19"/>
      <c r="U77" s="368"/>
      <c r="V77" s="368"/>
      <c r="AB77" s="19"/>
      <c r="AC77" s="368"/>
      <c r="AD77" s="368"/>
      <c r="AF77" s="363"/>
      <c r="AG77" s="363"/>
      <c r="AJ77" s="363"/>
      <c r="AK77" s="363"/>
      <c r="AN77" s="363"/>
      <c r="AQ77" s="268"/>
    </row>
    <row r="78" spans="1:43" ht="12.75" customHeight="1">
      <c r="B78" s="273"/>
      <c r="Q78" s="291"/>
      <c r="R78" s="2"/>
      <c r="U78" s="361"/>
      <c r="AF78" s="363"/>
      <c r="AG78" s="363"/>
      <c r="AH78" s="369" t="s">
        <v>206</v>
      </c>
      <c r="AJ78" s="363"/>
      <c r="AK78" s="363"/>
      <c r="AQ78" s="268"/>
    </row>
    <row r="79" spans="1:43">
      <c r="Q79" s="291"/>
      <c r="R79" s="2"/>
      <c r="U79" s="361"/>
      <c r="X79" s="370"/>
      <c r="AF79" s="363"/>
      <c r="AG79" s="363"/>
      <c r="AH79" s="371" t="s">
        <v>0</v>
      </c>
      <c r="AI79" s="372" t="s">
        <v>1</v>
      </c>
      <c r="AJ79" s="363"/>
      <c r="AK79" s="363"/>
    </row>
    <row r="80" spans="1:43" ht="15" thickBot="1">
      <c r="C80" s="30"/>
      <c r="D80" s="280"/>
      <c r="E80" s="344"/>
      <c r="J80" s="345" t="s">
        <v>246</v>
      </c>
      <c r="K80" s="346"/>
      <c r="L80" s="345"/>
      <c r="M80" s="43"/>
      <c r="N80" s="345"/>
      <c r="O80" s="43"/>
      <c r="Q80" s="291"/>
      <c r="R80" s="2"/>
      <c r="S80" s="276"/>
      <c r="T80" s="276"/>
      <c r="U80" s="373"/>
      <c r="V80" s="276"/>
      <c r="W80" s="276"/>
      <c r="AG80" s="270"/>
      <c r="AH80" s="372">
        <f>MATCH(E19,AN83:AN87,0)</f>
        <v>4</v>
      </c>
      <c r="AI80" s="374">
        <f>MATCH(H19,AN83:AN87,0)</f>
        <v>4</v>
      </c>
      <c r="AJ80" s="270"/>
      <c r="AQ80" s="268"/>
    </row>
    <row r="81" spans="1:54" s="4" customFormat="1" ht="14.25">
      <c r="A81" s="305"/>
      <c r="B81" s="19"/>
      <c r="D81" s="280"/>
      <c r="E81" s="344"/>
      <c r="F81" s="269"/>
      <c r="G81" s="273"/>
      <c r="H81" s="65" t="s">
        <v>163</v>
      </c>
      <c r="I81" s="268"/>
      <c r="J81" s="332">
        <f>MAX((F22*$AO$83-J17)*$AO$88*$AP$83,0)</f>
        <v>66</v>
      </c>
      <c r="K81" s="375"/>
      <c r="L81" s="332">
        <f ca="1">MAX(($F$22*0.5-L17)*AO88*AP83,0)</f>
        <v>0</v>
      </c>
      <c r="M81" s="376"/>
      <c r="N81" s="332">
        <f ca="1">MAX(($H$22*(0.5*H24)-N17)*AP88,0)</f>
        <v>0</v>
      </c>
      <c r="O81" s="268"/>
      <c r="P81" s="269"/>
      <c r="Q81" s="291"/>
      <c r="R81" s="2"/>
      <c r="S81" s="276"/>
      <c r="T81" s="276"/>
      <c r="U81" s="276"/>
      <c r="V81" s="276"/>
      <c r="W81" s="276"/>
      <c r="X81" s="269"/>
      <c r="Y81" s="269"/>
      <c r="Z81" s="269"/>
      <c r="AB81" s="269"/>
      <c r="AC81" s="269"/>
      <c r="AD81" s="269"/>
      <c r="AE81" s="269"/>
      <c r="AF81" s="269"/>
      <c r="AG81" s="269"/>
      <c r="AH81" s="269"/>
      <c r="AM81" s="377"/>
      <c r="AN81" s="378"/>
      <c r="AO81" s="379"/>
      <c r="AP81" s="380"/>
      <c r="AQ81" s="291"/>
    </row>
    <row r="82" spans="1:54" s="4" customFormat="1" ht="12.75" customHeight="1">
      <c r="A82" s="381"/>
      <c r="D82" s="280"/>
      <c r="E82" s="344"/>
      <c r="F82" s="269"/>
      <c r="G82" s="273"/>
      <c r="H82" s="65" t="s">
        <v>166</v>
      </c>
      <c r="I82" s="268"/>
      <c r="J82" s="332">
        <v>0</v>
      </c>
      <c r="K82" s="375"/>
      <c r="L82" s="332">
        <v>0</v>
      </c>
      <c r="M82" s="376"/>
      <c r="N82" s="332">
        <v>0</v>
      </c>
      <c r="O82" s="268"/>
      <c r="P82" s="269"/>
      <c r="Q82" s="291"/>
      <c r="R82" s="2"/>
      <c r="S82" s="276"/>
      <c r="T82" s="276"/>
      <c r="U82" s="276"/>
      <c r="V82" s="276"/>
      <c r="W82" s="276"/>
      <c r="X82" s="269"/>
      <c r="Y82" s="269"/>
      <c r="Z82" s="269"/>
      <c r="AB82" s="269"/>
      <c r="AC82" s="269"/>
      <c r="AD82" s="269"/>
      <c r="AE82" s="269"/>
      <c r="AF82" s="269"/>
      <c r="AG82" s="269"/>
      <c r="AH82" s="19" t="s">
        <v>169</v>
      </c>
      <c r="AK82" s="19" t="s">
        <v>170</v>
      </c>
      <c r="AN82" s="307" t="s">
        <v>25</v>
      </c>
      <c r="AO82" s="21" t="s">
        <v>178</v>
      </c>
      <c r="AP82" s="308" t="s">
        <v>179</v>
      </c>
      <c r="AQ82" s="268"/>
      <c r="AT82" s="19" t="s">
        <v>199</v>
      </c>
      <c r="AU82" s="19" t="s">
        <v>26</v>
      </c>
      <c r="AV82" s="19" t="s">
        <v>27</v>
      </c>
      <c r="AW82" s="19" t="s">
        <v>26</v>
      </c>
      <c r="AX82" s="19" t="s">
        <v>198</v>
      </c>
      <c r="AY82" s="19" t="s">
        <v>203</v>
      </c>
      <c r="AZ82" s="19" t="s">
        <v>201</v>
      </c>
      <c r="BA82" s="19" t="s">
        <v>204</v>
      </c>
      <c r="BB82" s="19" t="s">
        <v>205</v>
      </c>
    </row>
    <row r="83" spans="1:54" s="4" customFormat="1" ht="14.25">
      <c r="A83" s="381"/>
      <c r="D83" s="280"/>
      <c r="E83" s="344"/>
      <c r="F83" s="269"/>
      <c r="G83" s="273"/>
      <c r="H83" s="382" t="s">
        <v>37</v>
      </c>
      <c r="I83" s="268"/>
      <c r="J83" s="332">
        <f>MAX(($F$22*$F$23-J17)*$AO$88*$F$21,0)</f>
        <v>344</v>
      </c>
      <c r="K83" s="375"/>
      <c r="L83" s="332">
        <f ca="1">MAX(($F$22*$F$23-L17)*AO88*$F$21,0)</f>
        <v>0</v>
      </c>
      <c r="M83" s="376"/>
      <c r="N83" s="332">
        <f ca="1">MAX(($H$22*$H$24-N17)*AP88*$H$21,0)</f>
        <v>0</v>
      </c>
      <c r="O83" s="268"/>
      <c r="P83" s="269"/>
      <c r="Q83" s="291"/>
      <c r="R83" s="2"/>
      <c r="S83" s="276"/>
      <c r="T83" s="383"/>
      <c r="U83" s="384"/>
      <c r="V83" s="384"/>
      <c r="W83" s="276"/>
      <c r="X83" s="269"/>
      <c r="Y83" s="269"/>
      <c r="Z83" s="269"/>
      <c r="AB83" s="385"/>
      <c r="AC83" s="270"/>
      <c r="AD83" s="270"/>
      <c r="AE83" s="269"/>
      <c r="AF83" s="269"/>
      <c r="AG83" s="269"/>
      <c r="AH83" s="386">
        <v>1</v>
      </c>
      <c r="AK83" s="387">
        <v>0.85</v>
      </c>
      <c r="AN83" s="388" t="s">
        <v>163</v>
      </c>
      <c r="AO83" s="268">
        <v>0.5</v>
      </c>
      <c r="AP83" s="302">
        <v>0.55000000000000004</v>
      </c>
      <c r="AT83" s="332">
        <f ca="1">IF(AU83&lt;$AO$97,NA(),$J$50)</f>
        <v>505.5</v>
      </c>
      <c r="AU83" s="385">
        <f ca="1">AO97</f>
        <v>43560</v>
      </c>
      <c r="AV83" s="332">
        <f ca="1">L50</f>
        <v>519.76021816864613</v>
      </c>
      <c r="AW83" s="385">
        <f ca="1">AU83</f>
        <v>43560</v>
      </c>
      <c r="AX83" s="332">
        <f ca="1">N50</f>
        <v>743.8057482826523</v>
      </c>
      <c r="AY83" s="269"/>
      <c r="AZ83" s="269"/>
      <c r="BA83" s="269"/>
      <c r="BB83" s="269"/>
    </row>
    <row r="84" spans="1:54" s="4" customFormat="1" ht="14.25">
      <c r="A84" s="381"/>
      <c r="D84" s="280"/>
      <c r="E84" s="344"/>
      <c r="F84" s="269"/>
      <c r="G84" s="273"/>
      <c r="H84" s="382" t="s">
        <v>164</v>
      </c>
      <c r="I84" s="268"/>
      <c r="J84" s="332">
        <f>MAX(($F$22*$F$23*MAX(AO88,MIN(AO88*2,$F$10))-J17*MIN(AO88,$F$10)),0)</f>
        <v>344</v>
      </c>
      <c r="K84" s="375"/>
      <c r="L84" s="332">
        <f ca="1">MAX(($F$22*$F$23*MAX($AO$88,MIN($AO$88*2,$F$10))-L17*MIN(AO88,$F$10)),0)</f>
        <v>0</v>
      </c>
      <c r="M84" s="376"/>
      <c r="N84" s="332">
        <f ca="1">MAX(($H$22*H24*MAX(AP88,MIN(AP88*2,$H$10))-N17*MIN(AP88,$H$10)),0)</f>
        <v>0</v>
      </c>
      <c r="O84" s="268"/>
      <c r="P84" s="269"/>
      <c r="Q84" s="291"/>
      <c r="R84" s="2"/>
      <c r="S84" s="276"/>
      <c r="T84" s="383"/>
      <c r="U84" s="384"/>
      <c r="V84" s="384"/>
      <c r="W84" s="276"/>
      <c r="X84" s="269"/>
      <c r="Y84" s="269"/>
      <c r="Z84" s="269"/>
      <c r="AB84" s="385"/>
      <c r="AC84" s="270"/>
      <c r="AD84" s="270"/>
      <c r="AE84" s="269"/>
      <c r="AF84" s="269"/>
      <c r="AG84" s="269"/>
      <c r="AH84" s="386">
        <v>0.99</v>
      </c>
      <c r="AK84" s="387">
        <v>0.8</v>
      </c>
      <c r="AN84" s="388" t="s">
        <v>182</v>
      </c>
      <c r="AO84" s="389"/>
      <c r="AP84" s="390"/>
      <c r="AQ84" s="21"/>
      <c r="AT84" s="332">
        <f t="shared" ref="AT84:AT114" ca="1" si="2">IF(AU84&lt;$AO$97,NA(),$J$50)</f>
        <v>505.5</v>
      </c>
      <c r="AU84" s="385">
        <f ca="1">AU83</f>
        <v>43560</v>
      </c>
      <c r="AV84" s="269">
        <f t="dataTable" ref="AV84:AV205" dt2D="0" dtr="0" r1="F15" ca="1"/>
        <v>589</v>
      </c>
      <c r="AW84" s="385">
        <f ca="1">AU84</f>
        <v>43560</v>
      </c>
      <c r="AX84" s="269" t="e">
        <f t="dataTable" ref="AX84:AX205" dt2D="0" dtr="0" r1="H15" ca="1"/>
        <v>#N/A</v>
      </c>
      <c r="AY84" s="269">
        <f t="shared" ref="AY84:AY115" ca="1" si="3">IF(AND(AU84&gt;=$AO$95,AU84&lt;=$AO$95+$AO$96),1000,0)</f>
        <v>0</v>
      </c>
      <c r="AZ84" s="269">
        <f t="shared" ref="AZ84:AZ115" ca="1" si="4">IF(AU84=$AO$97,1000,0)</f>
        <v>1000</v>
      </c>
      <c r="BA84" s="269">
        <f t="shared" ref="BA84:BA115" ca="1" si="5">IF(AU84=$AP$97,1000,0)</f>
        <v>0</v>
      </c>
      <c r="BB84" s="269">
        <f t="shared" ref="BB84:BB115" ca="1" si="6">IF(AND(AU84&gt;=$AP$95,AU84&lt;=$AP$95+$AP$96),1000,0)</f>
        <v>0</v>
      </c>
    </row>
    <row r="85" spans="1:54" s="4" customFormat="1" ht="14.25">
      <c r="A85" s="381"/>
      <c r="D85" s="280"/>
      <c r="E85" s="344"/>
      <c r="F85" s="269"/>
      <c r="G85" s="273"/>
      <c r="H85" s="382" t="s">
        <v>165</v>
      </c>
      <c r="I85" s="268"/>
      <c r="J85" s="347">
        <f>MAX($F$22*$F$23*$AO$88-J17*MIN(F10,$AO$88),0)</f>
        <v>344</v>
      </c>
      <c r="K85" s="348"/>
      <c r="L85" s="347">
        <f ca="1">MAX($F$22*$F$23*$AO$88-L17*MIN(AO88,$F$10),0)</f>
        <v>0</v>
      </c>
      <c r="M85" s="349"/>
      <c r="N85" s="347">
        <f ca="1">MAX($H$22*H24*$AP$88-N17*MIN($AP$88,$H$10),0)</f>
        <v>0</v>
      </c>
      <c r="O85" s="268"/>
      <c r="P85" s="269"/>
      <c r="Q85" s="291"/>
      <c r="R85" s="2"/>
      <c r="S85" s="276"/>
      <c r="T85" s="383"/>
      <c r="U85" s="384"/>
      <c r="V85" s="384"/>
      <c r="W85" s="276"/>
      <c r="X85" s="269"/>
      <c r="Y85" s="269"/>
      <c r="Z85" s="269"/>
      <c r="AB85" s="385"/>
      <c r="AC85" s="270"/>
      <c r="AD85" s="270"/>
      <c r="AE85" s="269"/>
      <c r="AF85" s="269"/>
      <c r="AG85" s="269"/>
      <c r="AH85" s="386">
        <v>0.98</v>
      </c>
      <c r="AK85" s="387">
        <v>0.75</v>
      </c>
      <c r="AN85" s="391" t="s">
        <v>37</v>
      </c>
      <c r="AO85" s="389"/>
      <c r="AP85" s="390"/>
      <c r="AQ85" s="21"/>
      <c r="AT85" s="332">
        <f t="shared" ca="1" si="2"/>
        <v>505.5</v>
      </c>
      <c r="AU85" s="385">
        <f ca="1">AU84+1</f>
        <v>43561</v>
      </c>
      <c r="AV85" s="269">
        <v>589</v>
      </c>
      <c r="AW85" s="385">
        <f ca="1">AW84+1</f>
        <v>43561</v>
      </c>
      <c r="AX85" s="269" t="e">
        <v>#N/A</v>
      </c>
      <c r="AY85" s="269">
        <f t="shared" ca="1" si="3"/>
        <v>0</v>
      </c>
      <c r="AZ85" s="269">
        <f t="shared" ca="1" si="4"/>
        <v>0</v>
      </c>
      <c r="BA85" s="269">
        <f t="shared" ca="1" si="5"/>
        <v>0</v>
      </c>
      <c r="BB85" s="269">
        <f t="shared" ca="1" si="6"/>
        <v>0</v>
      </c>
    </row>
    <row r="86" spans="1:54" s="4" customFormat="1">
      <c r="A86" s="381"/>
      <c r="C86" s="276"/>
      <c r="D86" s="276"/>
      <c r="E86" s="276"/>
      <c r="F86" s="276"/>
      <c r="G86" s="273"/>
      <c r="H86" s="269"/>
      <c r="I86" s="268"/>
      <c r="J86" s="269"/>
      <c r="K86" s="276"/>
      <c r="L86" s="269"/>
      <c r="M86" s="268"/>
      <c r="N86" s="269"/>
      <c r="O86" s="268"/>
      <c r="P86" s="269"/>
      <c r="Q86" s="291"/>
      <c r="R86" s="2"/>
      <c r="S86" s="276"/>
      <c r="T86" s="383"/>
      <c r="U86" s="384"/>
      <c r="V86" s="384"/>
      <c r="W86" s="276"/>
      <c r="X86" s="269"/>
      <c r="Y86" s="269"/>
      <c r="Z86" s="269"/>
      <c r="AB86" s="385"/>
      <c r="AC86" s="270"/>
      <c r="AD86" s="270"/>
      <c r="AE86" s="269"/>
      <c r="AF86" s="269"/>
      <c r="AG86" s="269"/>
      <c r="AH86" s="386">
        <v>0.97</v>
      </c>
      <c r="AK86" s="387">
        <v>0.7</v>
      </c>
      <c r="AN86" s="388" t="s">
        <v>164</v>
      </c>
      <c r="AO86" s="510" t="s">
        <v>34</v>
      </c>
      <c r="AP86" s="511"/>
      <c r="AQ86" s="21"/>
      <c r="AT86" s="332">
        <f t="shared" ca="1" si="2"/>
        <v>505.5</v>
      </c>
      <c r="AU86" s="385">
        <f t="shared" ref="AU86:AW106" ca="1" si="7">AU85+1</f>
        <v>43562</v>
      </c>
      <c r="AV86" s="269">
        <v>589</v>
      </c>
      <c r="AW86" s="385">
        <f t="shared" ca="1" si="7"/>
        <v>43562</v>
      </c>
      <c r="AX86" s="269" t="e">
        <v>#N/A</v>
      </c>
      <c r="AY86" s="269">
        <f t="shared" ca="1" si="3"/>
        <v>0</v>
      </c>
      <c r="AZ86" s="269">
        <f t="shared" ca="1" si="4"/>
        <v>0</v>
      </c>
      <c r="BA86" s="269">
        <f t="shared" ca="1" si="5"/>
        <v>0</v>
      </c>
      <c r="BB86" s="269">
        <f t="shared" ca="1" si="6"/>
        <v>0</v>
      </c>
    </row>
    <row r="87" spans="1:54" s="4" customFormat="1">
      <c r="A87" s="381"/>
      <c r="C87" s="276"/>
      <c r="D87" s="276"/>
      <c r="E87" s="276"/>
      <c r="F87" s="276"/>
      <c r="G87" s="50"/>
      <c r="H87" s="392"/>
      <c r="I87" s="50"/>
      <c r="J87" s="50"/>
      <c r="K87" s="50"/>
      <c r="L87" s="50"/>
      <c r="M87" s="50"/>
      <c r="N87" s="50"/>
      <c r="O87" s="50"/>
      <c r="P87" s="50"/>
      <c r="Q87" s="291"/>
      <c r="R87" s="2"/>
      <c r="S87" s="276"/>
      <c r="T87" s="383"/>
      <c r="U87" s="384"/>
      <c r="V87" s="384"/>
      <c r="W87" s="276"/>
      <c r="X87" s="269"/>
      <c r="Y87" s="269"/>
      <c r="Z87" s="269"/>
      <c r="AB87" s="385"/>
      <c r="AC87" s="270"/>
      <c r="AD87" s="270"/>
      <c r="AE87" s="269"/>
      <c r="AF87" s="269"/>
      <c r="AG87" s="269"/>
      <c r="AH87" s="386">
        <v>0.96</v>
      </c>
      <c r="AK87" s="387">
        <v>0.65</v>
      </c>
      <c r="AN87" s="393" t="s">
        <v>187</v>
      </c>
      <c r="AO87" s="394" t="s">
        <v>0</v>
      </c>
      <c r="AP87" s="395" t="s">
        <v>1</v>
      </c>
      <c r="AQ87" s="21"/>
      <c r="AT87" s="332">
        <f t="shared" ca="1" si="2"/>
        <v>505.5</v>
      </c>
      <c r="AU87" s="385">
        <f t="shared" ca="1" si="7"/>
        <v>43563</v>
      </c>
      <c r="AV87" s="269">
        <v>589</v>
      </c>
      <c r="AW87" s="385">
        <f t="shared" ca="1" si="7"/>
        <v>43563</v>
      </c>
      <c r="AX87" s="269" t="e">
        <v>#N/A</v>
      </c>
      <c r="AY87" s="269">
        <f t="shared" ca="1" si="3"/>
        <v>0</v>
      </c>
      <c r="AZ87" s="269">
        <f t="shared" ca="1" si="4"/>
        <v>0</v>
      </c>
      <c r="BA87" s="269">
        <f t="shared" ca="1" si="5"/>
        <v>0</v>
      </c>
      <c r="BB87" s="269">
        <f t="shared" ca="1" si="6"/>
        <v>0</v>
      </c>
    </row>
    <row r="88" spans="1:54" s="4" customFormat="1" ht="13.5" thickBot="1">
      <c r="A88" s="381"/>
      <c r="C88" s="276"/>
      <c r="D88" s="276"/>
      <c r="E88" s="276"/>
      <c r="F88" s="276"/>
      <c r="G88" s="18"/>
      <c r="H88" s="18"/>
      <c r="I88" s="396"/>
      <c r="J88" s="396"/>
      <c r="K88" s="396"/>
      <c r="L88" s="396"/>
      <c r="M88" s="396"/>
      <c r="N88" s="396"/>
      <c r="O88" s="30"/>
      <c r="P88" s="30"/>
      <c r="Q88" s="291"/>
      <c r="R88" s="2"/>
      <c r="S88" s="276"/>
      <c r="T88" s="383"/>
      <c r="U88" s="384"/>
      <c r="V88" s="384"/>
      <c r="W88" s="276"/>
      <c r="X88" s="269"/>
      <c r="Y88" s="269"/>
      <c r="Z88" s="269"/>
      <c r="AB88" s="385"/>
      <c r="AC88" s="270"/>
      <c r="AD88" s="270"/>
      <c r="AE88" s="269"/>
      <c r="AF88" s="269"/>
      <c r="AG88" s="269"/>
      <c r="AH88" s="386">
        <v>0.95</v>
      </c>
      <c r="AK88" s="387">
        <v>0.6</v>
      </c>
      <c r="AN88" s="397" t="s">
        <v>180</v>
      </c>
      <c r="AO88" s="398">
        <f>Instructions!L17</f>
        <v>4</v>
      </c>
      <c r="AP88" s="398">
        <f>Instructions!M17</f>
        <v>9.5399999999999991</v>
      </c>
      <c r="AQ88" s="21"/>
      <c r="AT88" s="332">
        <f t="shared" ca="1" si="2"/>
        <v>505.5</v>
      </c>
      <c r="AU88" s="385">
        <f t="shared" ca="1" si="7"/>
        <v>43564</v>
      </c>
      <c r="AV88" s="269">
        <v>589</v>
      </c>
      <c r="AW88" s="385">
        <f t="shared" ca="1" si="7"/>
        <v>43564</v>
      </c>
      <c r="AX88" s="269" t="e">
        <v>#N/A</v>
      </c>
      <c r="AY88" s="269">
        <f t="shared" ca="1" si="3"/>
        <v>0</v>
      </c>
      <c r="AZ88" s="269">
        <f t="shared" ca="1" si="4"/>
        <v>0</v>
      </c>
      <c r="BA88" s="269">
        <f t="shared" ca="1" si="5"/>
        <v>0</v>
      </c>
      <c r="BB88" s="269">
        <f t="shared" ca="1" si="6"/>
        <v>0</v>
      </c>
    </row>
    <row r="89" spans="1:54" s="4" customFormat="1">
      <c r="A89" s="381"/>
      <c r="C89" s="399"/>
      <c r="D89" s="400"/>
      <c r="E89" s="400"/>
      <c r="F89" s="399"/>
      <c r="G89" s="399"/>
      <c r="H89" s="399"/>
      <c r="I89" s="50"/>
      <c r="J89" s="169"/>
      <c r="K89" s="169"/>
      <c r="L89" s="171"/>
      <c r="M89" s="171"/>
      <c r="N89" s="169"/>
      <c r="O89" s="169"/>
      <c r="P89" s="50"/>
      <c r="Q89" s="291"/>
      <c r="R89" s="2"/>
      <c r="S89" s="276"/>
      <c r="T89" s="383"/>
      <c r="U89" s="384"/>
      <c r="V89" s="384"/>
      <c r="W89" s="276"/>
      <c r="X89" s="269"/>
      <c r="Y89" s="269"/>
      <c r="Z89" s="269"/>
      <c r="AB89" s="385"/>
      <c r="AC89" s="270"/>
      <c r="AD89" s="270"/>
      <c r="AE89" s="269"/>
      <c r="AF89" s="269"/>
      <c r="AG89" s="269"/>
      <c r="AH89" s="386">
        <v>0.94</v>
      </c>
      <c r="AK89" s="387">
        <v>0.55000000000000004</v>
      </c>
      <c r="AN89" s="401"/>
      <c r="AO89" s="402"/>
      <c r="AP89" s="403"/>
      <c r="AQ89" s="21"/>
      <c r="AT89" s="332">
        <f t="shared" ca="1" si="2"/>
        <v>505.5</v>
      </c>
      <c r="AU89" s="385">
        <f t="shared" ca="1" si="7"/>
        <v>43565</v>
      </c>
      <c r="AV89" s="4">
        <v>589</v>
      </c>
      <c r="AW89" s="385">
        <f t="shared" ca="1" si="7"/>
        <v>43565</v>
      </c>
      <c r="AX89" s="4" t="e">
        <v>#N/A</v>
      </c>
      <c r="AY89" s="269">
        <f t="shared" ca="1" si="3"/>
        <v>0</v>
      </c>
      <c r="AZ89" s="269">
        <f t="shared" ca="1" si="4"/>
        <v>0</v>
      </c>
      <c r="BA89" s="269">
        <f t="shared" ca="1" si="5"/>
        <v>0</v>
      </c>
      <c r="BB89" s="269">
        <f t="shared" ca="1" si="6"/>
        <v>0</v>
      </c>
    </row>
    <row r="90" spans="1:54" s="4" customFormat="1">
      <c r="A90" s="381"/>
      <c r="C90" s="399"/>
      <c r="D90" s="400"/>
      <c r="E90" s="400"/>
      <c r="F90" s="399"/>
      <c r="G90" s="399"/>
      <c r="H90" s="399"/>
      <c r="I90" s="50"/>
      <c r="J90" s="169"/>
      <c r="K90" s="169"/>
      <c r="L90" s="171"/>
      <c r="M90" s="171"/>
      <c r="N90" s="169"/>
      <c r="O90" s="169"/>
      <c r="P90" s="50"/>
      <c r="Q90" s="291"/>
      <c r="R90" s="2"/>
      <c r="S90" s="276"/>
      <c r="T90" s="383"/>
      <c r="U90" s="384"/>
      <c r="V90" s="384"/>
      <c r="W90" s="276"/>
      <c r="X90" s="269"/>
      <c r="Y90" s="269"/>
      <c r="Z90" s="269"/>
      <c r="AB90" s="385"/>
      <c r="AC90" s="270"/>
      <c r="AD90" s="270"/>
      <c r="AE90" s="269"/>
      <c r="AF90" s="269"/>
      <c r="AG90" s="269"/>
      <c r="AH90" s="386">
        <v>0.93</v>
      </c>
      <c r="AK90" s="387">
        <v>0.5</v>
      </c>
      <c r="AN90" s="401"/>
      <c r="AO90" s="402"/>
      <c r="AP90" s="403"/>
      <c r="AQ90" s="21"/>
      <c r="AT90" s="332">
        <f t="shared" ca="1" si="2"/>
        <v>505.5</v>
      </c>
      <c r="AU90" s="385">
        <f t="shared" ca="1" si="7"/>
        <v>43566</v>
      </c>
      <c r="AV90" s="4">
        <v>589</v>
      </c>
      <c r="AW90" s="385">
        <f t="shared" ca="1" si="7"/>
        <v>43566</v>
      </c>
      <c r="AX90" s="4" t="e">
        <v>#N/A</v>
      </c>
      <c r="AY90" s="269">
        <f t="shared" ca="1" si="3"/>
        <v>0</v>
      </c>
      <c r="AZ90" s="269">
        <f t="shared" ca="1" si="4"/>
        <v>0</v>
      </c>
      <c r="BA90" s="269">
        <f t="shared" ca="1" si="5"/>
        <v>0</v>
      </c>
      <c r="BB90" s="269">
        <f t="shared" ca="1" si="6"/>
        <v>0</v>
      </c>
    </row>
    <row r="91" spans="1:54" s="4" customFormat="1">
      <c r="A91" s="381"/>
      <c r="D91" s="400"/>
      <c r="E91" s="400"/>
      <c r="F91" s="399"/>
      <c r="G91" s="399"/>
      <c r="H91" s="399"/>
      <c r="I91" s="50"/>
      <c r="J91" s="169"/>
      <c r="K91" s="169"/>
      <c r="L91" s="171"/>
      <c r="M91" s="171"/>
      <c r="N91" s="169"/>
      <c r="O91" s="169"/>
      <c r="P91" s="50"/>
      <c r="Q91" s="291"/>
      <c r="R91" s="2"/>
      <c r="S91" s="276"/>
      <c r="T91" s="383"/>
      <c r="U91" s="384"/>
      <c r="V91" s="384"/>
      <c r="W91" s="276"/>
      <c r="X91" s="269"/>
      <c r="Y91" s="269"/>
      <c r="Z91" s="269"/>
      <c r="AB91" s="385"/>
      <c r="AC91" s="270"/>
      <c r="AD91" s="270"/>
      <c r="AE91" s="269"/>
      <c r="AF91" s="269"/>
      <c r="AG91" s="269"/>
      <c r="AH91" s="386">
        <v>0.92</v>
      </c>
      <c r="AK91" s="387"/>
      <c r="AN91" s="401"/>
      <c r="AO91" s="402"/>
      <c r="AP91" s="403"/>
      <c r="AQ91" s="21"/>
      <c r="AT91" s="332">
        <f t="shared" ca="1" si="2"/>
        <v>505.5</v>
      </c>
      <c r="AU91" s="385">
        <f t="shared" ca="1" si="7"/>
        <v>43567</v>
      </c>
      <c r="AV91" s="4">
        <v>589</v>
      </c>
      <c r="AW91" s="385">
        <f t="shared" ca="1" si="7"/>
        <v>43567</v>
      </c>
      <c r="AX91" s="4" t="e">
        <v>#N/A</v>
      </c>
      <c r="AY91" s="269">
        <f t="shared" ca="1" si="3"/>
        <v>0</v>
      </c>
      <c r="AZ91" s="269">
        <f t="shared" ca="1" si="4"/>
        <v>0</v>
      </c>
      <c r="BA91" s="269">
        <f t="shared" ca="1" si="5"/>
        <v>0</v>
      </c>
      <c r="BB91" s="269">
        <f t="shared" ca="1" si="6"/>
        <v>0</v>
      </c>
    </row>
    <row r="92" spans="1:54" s="4" customFormat="1" ht="15" thickBot="1">
      <c r="A92" s="381"/>
      <c r="D92" s="280"/>
      <c r="E92" s="344"/>
      <c r="F92" s="269"/>
      <c r="G92" s="273"/>
      <c r="H92" s="268"/>
      <c r="I92" s="268"/>
      <c r="J92" s="268"/>
      <c r="K92" s="276"/>
      <c r="L92" s="268"/>
      <c r="M92" s="268"/>
      <c r="N92" s="268"/>
      <c r="O92" s="268"/>
      <c r="P92" s="50"/>
      <c r="Q92" s="291"/>
      <c r="R92" s="2"/>
      <c r="S92" s="276"/>
      <c r="T92" s="383"/>
      <c r="U92" s="384"/>
      <c r="V92" s="384"/>
      <c r="W92" s="276"/>
      <c r="X92" s="269"/>
      <c r="Y92" s="269"/>
      <c r="Z92" s="269"/>
      <c r="AB92" s="385"/>
      <c r="AC92" s="270"/>
      <c r="AD92" s="270"/>
      <c r="AE92" s="269"/>
      <c r="AF92" s="269"/>
      <c r="AG92" s="269"/>
      <c r="AH92" s="386">
        <v>0.91</v>
      </c>
      <c r="AK92" s="387"/>
      <c r="AN92" s="269"/>
      <c r="AO92" s="269"/>
      <c r="AP92" s="269"/>
      <c r="AQ92" s="21"/>
      <c r="AT92" s="332">
        <f t="shared" ca="1" si="2"/>
        <v>505.5</v>
      </c>
      <c r="AU92" s="385">
        <f t="shared" ca="1" si="7"/>
        <v>43568</v>
      </c>
      <c r="AV92" s="4">
        <v>589</v>
      </c>
      <c r="AW92" s="385">
        <f t="shared" ca="1" si="7"/>
        <v>43568</v>
      </c>
      <c r="AX92" s="4" t="e">
        <v>#N/A</v>
      </c>
      <c r="AY92" s="269">
        <f t="shared" ca="1" si="3"/>
        <v>0</v>
      </c>
      <c r="AZ92" s="269">
        <f t="shared" ca="1" si="4"/>
        <v>0</v>
      </c>
      <c r="BA92" s="269">
        <f t="shared" ca="1" si="5"/>
        <v>0</v>
      </c>
      <c r="BB92" s="269">
        <f t="shared" ca="1" si="6"/>
        <v>0</v>
      </c>
    </row>
    <row r="93" spans="1:54" s="4" customFormat="1" ht="14.25">
      <c r="A93" s="381"/>
      <c r="D93" s="280"/>
      <c r="E93" s="344"/>
      <c r="F93" s="269"/>
      <c r="G93" s="273"/>
      <c r="H93" s="268"/>
      <c r="I93" s="268"/>
      <c r="J93" s="268"/>
      <c r="K93" s="276"/>
      <c r="L93" s="268"/>
      <c r="M93" s="268"/>
      <c r="N93" s="268"/>
      <c r="O93" s="268"/>
      <c r="P93" s="50"/>
      <c r="Q93" s="291"/>
      <c r="R93" s="2"/>
      <c r="S93" s="276"/>
      <c r="T93" s="383"/>
      <c r="U93" s="384"/>
      <c r="V93" s="384"/>
      <c r="W93" s="276"/>
      <c r="X93" s="269"/>
      <c r="Y93" s="269"/>
      <c r="Z93" s="269"/>
      <c r="AB93" s="385"/>
      <c r="AC93" s="270"/>
      <c r="AD93" s="270"/>
      <c r="AE93" s="269"/>
      <c r="AF93" s="269"/>
      <c r="AG93" s="269"/>
      <c r="AH93" s="386">
        <v>0.9</v>
      </c>
      <c r="AK93" s="387"/>
      <c r="AN93" s="404" t="s">
        <v>13</v>
      </c>
      <c r="AO93" s="405"/>
      <c r="AP93" s="406"/>
      <c r="AQ93" s="21"/>
      <c r="AT93" s="332">
        <f t="shared" ca="1" si="2"/>
        <v>505.5</v>
      </c>
      <c r="AU93" s="385">
        <f t="shared" ca="1" si="7"/>
        <v>43569</v>
      </c>
      <c r="AV93" s="4">
        <v>589</v>
      </c>
      <c r="AW93" s="385">
        <f t="shared" ca="1" si="7"/>
        <v>43569</v>
      </c>
      <c r="AX93" s="4" t="e">
        <v>#N/A</v>
      </c>
      <c r="AY93" s="269">
        <f t="shared" ca="1" si="3"/>
        <v>0</v>
      </c>
      <c r="AZ93" s="269">
        <f t="shared" ca="1" si="4"/>
        <v>0</v>
      </c>
      <c r="BA93" s="269">
        <f t="shared" ca="1" si="5"/>
        <v>0</v>
      </c>
      <c r="BB93" s="269">
        <f t="shared" ca="1" si="6"/>
        <v>0</v>
      </c>
    </row>
    <row r="94" spans="1:54" s="4" customFormat="1">
      <c r="A94" s="381"/>
      <c r="I94" s="268"/>
      <c r="J94" s="47"/>
      <c r="K94" s="36"/>
      <c r="L94" s="180"/>
      <c r="M94" s="180"/>
      <c r="N94" s="180"/>
      <c r="O94" s="268"/>
      <c r="P94" s="50"/>
      <c r="Q94" s="291"/>
      <c r="R94" s="2"/>
      <c r="S94" s="276"/>
      <c r="T94" s="383"/>
      <c r="U94" s="384"/>
      <c r="V94" s="384"/>
      <c r="W94" s="276"/>
      <c r="X94" s="269"/>
      <c r="Y94" s="269"/>
      <c r="Z94" s="269"/>
      <c r="AB94" s="385"/>
      <c r="AC94" s="270"/>
      <c r="AD94" s="270"/>
      <c r="AE94" s="269"/>
      <c r="AF94" s="269"/>
      <c r="AG94" s="269"/>
      <c r="AH94" s="386">
        <v>0.89</v>
      </c>
      <c r="AK94" s="387"/>
      <c r="AN94" s="301"/>
      <c r="AO94" s="43" t="s">
        <v>0</v>
      </c>
      <c r="AP94" s="407" t="s">
        <v>1</v>
      </c>
      <c r="AQ94" s="21"/>
      <c r="AT94" s="332">
        <f t="shared" ca="1" si="2"/>
        <v>505.5</v>
      </c>
      <c r="AU94" s="385">
        <f t="shared" ca="1" si="7"/>
        <v>43570</v>
      </c>
      <c r="AV94" s="4">
        <v>589</v>
      </c>
      <c r="AW94" s="385">
        <f t="shared" ca="1" si="7"/>
        <v>43570</v>
      </c>
      <c r="AX94" s="4" t="e">
        <v>#N/A</v>
      </c>
      <c r="AY94" s="269">
        <f t="shared" ca="1" si="3"/>
        <v>0</v>
      </c>
      <c r="AZ94" s="269">
        <f t="shared" ca="1" si="4"/>
        <v>0</v>
      </c>
      <c r="BA94" s="269">
        <f t="shared" ca="1" si="5"/>
        <v>0</v>
      </c>
      <c r="BB94" s="269">
        <f t="shared" ca="1" si="6"/>
        <v>0</v>
      </c>
    </row>
    <row r="95" spans="1:54" s="4" customFormat="1">
      <c r="A95" s="381"/>
      <c r="I95" s="268"/>
      <c r="J95" s="268"/>
      <c r="K95" s="276"/>
      <c r="L95" s="268"/>
      <c r="M95" s="268"/>
      <c r="N95" s="268"/>
      <c r="O95" s="268"/>
      <c r="P95" s="50"/>
      <c r="Q95" s="291"/>
      <c r="R95" s="2"/>
      <c r="S95" s="276"/>
      <c r="T95" s="383"/>
      <c r="U95" s="384"/>
      <c r="V95" s="384"/>
      <c r="W95" s="276"/>
      <c r="X95" s="269"/>
      <c r="Y95" s="269"/>
      <c r="Z95" s="269"/>
      <c r="AB95" s="385"/>
      <c r="AC95" s="270"/>
      <c r="AD95" s="270"/>
      <c r="AE95" s="269"/>
      <c r="AF95" s="269"/>
      <c r="AG95" s="269"/>
      <c r="AH95" s="386">
        <v>0.88</v>
      </c>
      <c r="AK95" s="387"/>
      <c r="AN95" s="283" t="s">
        <v>207</v>
      </c>
      <c r="AO95" s="408">
        <f ca="1">VLOOKUP(D6,RMAData!A3:D117,3)</f>
        <v>43616</v>
      </c>
      <c r="AP95" s="409">
        <f ca="1">VLOOKUP(D6,RMAData!A3:D117,4)</f>
        <v>43636</v>
      </c>
      <c r="AQ95" s="21"/>
      <c r="AT95" s="332">
        <f t="shared" ca="1" si="2"/>
        <v>505.5</v>
      </c>
      <c r="AU95" s="385">
        <f t="shared" ca="1" si="7"/>
        <v>43571</v>
      </c>
      <c r="AV95" s="4">
        <v>587.30472726438188</v>
      </c>
      <c r="AW95" s="385">
        <f t="shared" ca="1" si="7"/>
        <v>43571</v>
      </c>
      <c r="AX95" s="4" t="e">
        <v>#N/A</v>
      </c>
      <c r="AY95" s="269">
        <f t="shared" ca="1" si="3"/>
        <v>0</v>
      </c>
      <c r="AZ95" s="269">
        <f t="shared" ca="1" si="4"/>
        <v>0</v>
      </c>
      <c r="BA95" s="269">
        <f t="shared" ca="1" si="5"/>
        <v>0</v>
      </c>
      <c r="BB95" s="269">
        <f t="shared" ca="1" si="6"/>
        <v>0</v>
      </c>
    </row>
    <row r="96" spans="1:54" s="4" customFormat="1">
      <c r="A96" s="381"/>
      <c r="I96" s="50"/>
      <c r="J96" s="169"/>
      <c r="K96" s="169"/>
      <c r="L96" s="171"/>
      <c r="M96" s="171"/>
      <c r="N96" s="169"/>
      <c r="O96" s="169"/>
      <c r="P96" s="50"/>
      <c r="Q96" s="291"/>
      <c r="R96" s="2"/>
      <c r="S96" s="276"/>
      <c r="T96" s="383"/>
      <c r="U96" s="384"/>
      <c r="V96" s="384"/>
      <c r="W96" s="276"/>
      <c r="X96" s="269"/>
      <c r="Y96" s="269"/>
      <c r="Z96" s="269"/>
      <c r="AB96" s="385"/>
      <c r="AC96" s="270"/>
      <c r="AD96" s="270"/>
      <c r="AE96" s="269"/>
      <c r="AF96" s="269"/>
      <c r="AG96" s="269"/>
      <c r="AH96" s="386">
        <v>0.87</v>
      </c>
      <c r="AK96" s="387"/>
      <c r="AN96" s="410" t="s">
        <v>257</v>
      </c>
      <c r="AO96" s="402">
        <v>20</v>
      </c>
      <c r="AP96" s="411">
        <v>25</v>
      </c>
      <c r="AQ96" s="21"/>
      <c r="AT96" s="332">
        <f t="shared" ca="1" si="2"/>
        <v>505.5</v>
      </c>
      <c r="AU96" s="385">
        <f t="shared" ca="1" si="7"/>
        <v>43572</v>
      </c>
      <c r="AV96" s="4">
        <v>585.07059998238469</v>
      </c>
      <c r="AW96" s="385">
        <f t="shared" ca="1" si="7"/>
        <v>43572</v>
      </c>
      <c r="AX96" s="4" t="e">
        <v>#N/A</v>
      </c>
      <c r="AY96" s="269">
        <f t="shared" ca="1" si="3"/>
        <v>0</v>
      </c>
      <c r="AZ96" s="269">
        <f t="shared" ca="1" si="4"/>
        <v>0</v>
      </c>
      <c r="BA96" s="269">
        <f t="shared" ca="1" si="5"/>
        <v>0</v>
      </c>
      <c r="BB96" s="269">
        <f t="shared" ca="1" si="6"/>
        <v>0</v>
      </c>
    </row>
    <row r="97" spans="1:54" s="4" customFormat="1" ht="13.5" thickBot="1">
      <c r="A97" s="381"/>
      <c r="I97" s="50"/>
      <c r="J97" s="169"/>
      <c r="K97" s="169"/>
      <c r="L97" s="171"/>
      <c r="M97" s="171"/>
      <c r="N97" s="169"/>
      <c r="O97" s="169"/>
      <c r="P97" s="50"/>
      <c r="Q97" s="291"/>
      <c r="R97" s="2"/>
      <c r="S97" s="276"/>
      <c r="T97" s="383"/>
      <c r="U97" s="384"/>
      <c r="V97" s="384"/>
      <c r="W97" s="276"/>
      <c r="X97" s="269"/>
      <c r="Y97" s="269"/>
      <c r="Z97" s="269"/>
      <c r="AB97" s="385"/>
      <c r="AC97" s="270"/>
      <c r="AD97" s="270"/>
      <c r="AE97" s="269"/>
      <c r="AF97" s="269"/>
      <c r="AG97" s="269"/>
      <c r="AH97" s="386">
        <v>0.86</v>
      </c>
      <c r="AK97" s="387"/>
      <c r="AN97" s="412" t="s">
        <v>200</v>
      </c>
      <c r="AO97" s="413">
        <f ca="1">VLOOKUP(D6,RMAData!A3:F117,5)</f>
        <v>43560</v>
      </c>
      <c r="AP97" s="414">
        <f ca="1">VLOOKUP(D6,RMAData!A3:F117,6)</f>
        <v>43575</v>
      </c>
      <c r="AQ97" s="21"/>
      <c r="AT97" s="332">
        <f t="shared" ca="1" si="2"/>
        <v>505.5</v>
      </c>
      <c r="AU97" s="385">
        <f t="shared" ca="1" si="7"/>
        <v>43573</v>
      </c>
      <c r="AV97" s="4">
        <v>582.78601817203685</v>
      </c>
      <c r="AW97" s="385">
        <f t="shared" ca="1" si="7"/>
        <v>43573</v>
      </c>
      <c r="AX97" s="4" t="e">
        <v>#N/A</v>
      </c>
      <c r="AY97" s="269">
        <f t="shared" ca="1" si="3"/>
        <v>0</v>
      </c>
      <c r="AZ97" s="269">
        <f t="shared" ca="1" si="4"/>
        <v>0</v>
      </c>
      <c r="BA97" s="269">
        <f t="shared" ca="1" si="5"/>
        <v>0</v>
      </c>
      <c r="BB97" s="269">
        <f t="shared" ca="1" si="6"/>
        <v>0</v>
      </c>
    </row>
    <row r="98" spans="1:54" s="4" customFormat="1">
      <c r="A98" s="381"/>
      <c r="I98" s="50"/>
      <c r="J98" s="169"/>
      <c r="K98" s="169"/>
      <c r="L98" s="171"/>
      <c r="M98" s="171"/>
      <c r="N98" s="169"/>
      <c r="O98" s="169"/>
      <c r="P98" s="50"/>
      <c r="Q98" s="291"/>
      <c r="R98" s="2"/>
      <c r="S98" s="276"/>
      <c r="T98" s="383"/>
      <c r="U98" s="384"/>
      <c r="V98" s="384"/>
      <c r="W98" s="276"/>
      <c r="X98" s="269"/>
      <c r="Y98" s="269"/>
      <c r="Z98" s="269"/>
      <c r="AB98" s="385"/>
      <c r="AC98" s="270"/>
      <c r="AD98" s="270"/>
      <c r="AE98" s="269"/>
      <c r="AF98" s="269"/>
      <c r="AG98" s="269"/>
      <c r="AH98" s="386">
        <v>0.85</v>
      </c>
      <c r="AK98" s="387"/>
      <c r="AN98" s="415"/>
      <c r="AO98" s="416"/>
      <c r="AP98" s="417"/>
      <c r="AQ98" s="21"/>
      <c r="AT98" s="332">
        <f t="shared" ca="1" si="2"/>
        <v>505.5</v>
      </c>
      <c r="AU98" s="385">
        <f t="shared" ca="1" si="7"/>
        <v>43574</v>
      </c>
      <c r="AV98" s="4">
        <v>580.45098180232571</v>
      </c>
      <c r="AW98" s="385">
        <f t="shared" ca="1" si="7"/>
        <v>43574</v>
      </c>
      <c r="AX98" s="4" t="e">
        <v>#N/A</v>
      </c>
      <c r="AY98" s="269">
        <f t="shared" ca="1" si="3"/>
        <v>0</v>
      </c>
      <c r="AZ98" s="269">
        <f t="shared" ca="1" si="4"/>
        <v>0</v>
      </c>
      <c r="BA98" s="269">
        <f t="shared" ca="1" si="5"/>
        <v>0</v>
      </c>
      <c r="BB98" s="269">
        <f t="shared" ca="1" si="6"/>
        <v>0</v>
      </c>
    </row>
    <row r="99" spans="1:54" s="4" customFormat="1">
      <c r="A99" s="381"/>
      <c r="I99" s="50"/>
      <c r="J99" s="169"/>
      <c r="K99" s="169"/>
      <c r="L99" s="171"/>
      <c r="M99" s="171"/>
      <c r="N99" s="169"/>
      <c r="O99" s="169"/>
      <c r="P99" s="50"/>
      <c r="Q99" s="291"/>
      <c r="R99" s="2"/>
      <c r="S99" s="276"/>
      <c r="T99" s="383"/>
      <c r="U99" s="384"/>
      <c r="V99" s="384"/>
      <c r="W99" s="276"/>
      <c r="X99" s="269"/>
      <c r="Y99" s="269"/>
      <c r="Z99" s="269"/>
      <c r="AB99" s="385"/>
      <c r="AC99" s="270"/>
      <c r="AD99" s="270"/>
      <c r="AE99" s="269"/>
      <c r="AF99" s="269"/>
      <c r="AG99" s="269"/>
      <c r="AH99" s="386">
        <v>0.84</v>
      </c>
      <c r="AK99" s="387"/>
      <c r="AN99" s="401"/>
      <c r="AO99" s="402"/>
      <c r="AP99" s="403"/>
      <c r="AQ99" s="21"/>
      <c r="AT99" s="332">
        <f t="shared" ca="1" si="2"/>
        <v>505.5</v>
      </c>
      <c r="AU99" s="385">
        <f t="shared" ca="1" si="7"/>
        <v>43575</v>
      </c>
      <c r="AV99" s="4">
        <v>578.06549089806163</v>
      </c>
      <c r="AW99" s="385">
        <f t="shared" ca="1" si="7"/>
        <v>43575</v>
      </c>
      <c r="AX99" s="4">
        <v>732.77275508902972</v>
      </c>
      <c r="AY99" s="269">
        <f t="shared" ca="1" si="3"/>
        <v>0</v>
      </c>
      <c r="AZ99" s="269">
        <f t="shared" ca="1" si="4"/>
        <v>0</v>
      </c>
      <c r="BA99" s="269">
        <f t="shared" ca="1" si="5"/>
        <v>1000</v>
      </c>
      <c r="BB99" s="269">
        <f t="shared" ca="1" si="6"/>
        <v>0</v>
      </c>
    </row>
    <row r="100" spans="1:54" s="4" customFormat="1">
      <c r="A100" s="381"/>
      <c r="I100" s="50"/>
      <c r="J100" s="169"/>
      <c r="K100" s="169"/>
      <c r="L100" s="171"/>
      <c r="M100" s="171"/>
      <c r="N100" s="169"/>
      <c r="O100" s="169"/>
      <c r="P100" s="50"/>
      <c r="Q100" s="291"/>
      <c r="R100" s="2"/>
      <c r="S100" s="276"/>
      <c r="T100" s="383"/>
      <c r="U100" s="276"/>
      <c r="V100" s="276"/>
      <c r="W100" s="276"/>
      <c r="X100" s="269"/>
      <c r="Y100" s="269"/>
      <c r="Z100" s="269"/>
      <c r="AB100" s="385"/>
      <c r="AC100" s="270"/>
      <c r="AD100" s="270"/>
      <c r="AE100" s="269"/>
      <c r="AF100" s="269"/>
      <c r="AG100" s="269"/>
      <c r="AH100" s="386">
        <v>0.83</v>
      </c>
      <c r="AK100" s="387"/>
      <c r="AN100" s="401"/>
      <c r="AO100" s="402"/>
      <c r="AP100" s="403"/>
      <c r="AQ100" s="21"/>
      <c r="AT100" s="332">
        <f t="shared" ca="1" si="2"/>
        <v>505.5</v>
      </c>
      <c r="AU100" s="385">
        <f t="shared" ca="1" si="7"/>
        <v>43576</v>
      </c>
      <c r="AV100" s="4">
        <v>575.62954544683919</v>
      </c>
      <c r="AW100" s="385">
        <f t="shared" ca="1" si="7"/>
        <v>43576</v>
      </c>
      <c r="AX100" s="4">
        <v>734.2889455675147</v>
      </c>
      <c r="AY100" s="269">
        <f t="shared" ca="1" si="3"/>
        <v>0</v>
      </c>
      <c r="AZ100" s="269">
        <f t="shared" ca="1" si="4"/>
        <v>0</v>
      </c>
      <c r="BA100" s="269">
        <f t="shared" ca="1" si="5"/>
        <v>0</v>
      </c>
      <c r="BB100" s="269">
        <f t="shared" ca="1" si="6"/>
        <v>0</v>
      </c>
    </row>
    <row r="101" spans="1:54" s="4" customFormat="1">
      <c r="A101" s="381"/>
      <c r="I101" s="50"/>
      <c r="J101" s="23"/>
      <c r="K101" s="23"/>
      <c r="L101" s="23"/>
      <c r="M101" s="23"/>
      <c r="N101" s="23"/>
      <c r="O101" s="50"/>
      <c r="P101" s="50"/>
      <c r="Q101" s="291"/>
      <c r="R101" s="2"/>
      <c r="S101" s="276"/>
      <c r="T101" s="383"/>
      <c r="U101" s="276"/>
      <c r="V101" s="276"/>
      <c r="W101" s="276"/>
      <c r="X101" s="269"/>
      <c r="Y101" s="269"/>
      <c r="Z101" s="269"/>
      <c r="AB101" s="385"/>
      <c r="AC101" s="270"/>
      <c r="AD101" s="270"/>
      <c r="AE101" s="269"/>
      <c r="AF101" s="269"/>
      <c r="AG101" s="269"/>
      <c r="AH101" s="386">
        <v>0.82</v>
      </c>
      <c r="AN101" s="345" t="s">
        <v>167</v>
      </c>
      <c r="AO101" s="385" t="str">
        <f>VLOOKUP(D6,RMAData!A3:D117,2)</f>
        <v>Central and North MO</v>
      </c>
      <c r="AQ101" s="268"/>
      <c r="AT101" s="332">
        <f ca="1">IF(AU101&lt;$AO$97,NA(),$J$50)</f>
        <v>505.5</v>
      </c>
      <c r="AU101" s="385">
        <f t="shared" ca="1" si="7"/>
        <v>43577</v>
      </c>
      <c r="AV101" s="4">
        <v>573.14314544245599</v>
      </c>
      <c r="AW101" s="385">
        <f t="shared" ca="1" si="7"/>
        <v>43577</v>
      </c>
      <c r="AX101" s="4">
        <v>735.70360544510186</v>
      </c>
      <c r="AY101" s="269">
        <f t="shared" ca="1" si="3"/>
        <v>0</v>
      </c>
      <c r="AZ101" s="269">
        <f ca="1">IF(AU101=$AO$97,1000,0)</f>
        <v>0</v>
      </c>
      <c r="BA101" s="269">
        <f t="shared" ca="1" si="5"/>
        <v>0</v>
      </c>
      <c r="BB101" s="269">
        <f t="shared" ca="1" si="6"/>
        <v>0</v>
      </c>
    </row>
    <row r="102" spans="1:54" s="4" customFormat="1">
      <c r="A102" s="381"/>
      <c r="I102" s="50"/>
      <c r="J102" s="23"/>
      <c r="K102" s="23"/>
      <c r="L102" s="23"/>
      <c r="M102" s="23"/>
      <c r="N102" s="23"/>
      <c r="O102" s="50"/>
      <c r="P102" s="50"/>
      <c r="Q102" s="291"/>
      <c r="R102" s="2"/>
      <c r="S102" s="276"/>
      <c r="T102" s="383"/>
      <c r="U102" s="276"/>
      <c r="V102" s="276"/>
      <c r="W102" s="276"/>
      <c r="X102" s="269"/>
      <c r="Y102" s="269"/>
      <c r="Z102" s="269"/>
      <c r="AB102" s="385"/>
      <c r="AC102" s="270"/>
      <c r="AD102" s="270"/>
      <c r="AE102" s="269"/>
      <c r="AF102" s="269"/>
      <c r="AG102" s="269"/>
      <c r="AH102" s="386">
        <v>0.81</v>
      </c>
      <c r="AN102" s="268"/>
      <c r="AO102" s="268"/>
      <c r="AP102" s="269"/>
      <c r="AQ102" s="269"/>
      <c r="AT102" s="332">
        <f t="shared" ca="1" si="2"/>
        <v>505.5</v>
      </c>
      <c r="AU102" s="385">
        <f t="shared" ca="1" si="7"/>
        <v>43578</v>
      </c>
      <c r="AV102" s="4">
        <v>570.60629090351983</v>
      </c>
      <c r="AW102" s="385">
        <f t="shared" ca="1" si="7"/>
        <v>43578</v>
      </c>
      <c r="AX102" s="4">
        <v>737.01673470325773</v>
      </c>
      <c r="AY102" s="269">
        <f t="shared" ca="1" si="3"/>
        <v>0</v>
      </c>
      <c r="AZ102" s="269">
        <f t="shared" ca="1" si="4"/>
        <v>0</v>
      </c>
      <c r="BA102" s="269">
        <f t="shared" ca="1" si="5"/>
        <v>0</v>
      </c>
      <c r="BB102" s="269">
        <f t="shared" ca="1" si="6"/>
        <v>0</v>
      </c>
    </row>
    <row r="103" spans="1:54" s="4" customFormat="1">
      <c r="A103" s="381"/>
      <c r="J103" s="23"/>
      <c r="K103" s="23"/>
      <c r="L103" s="23"/>
      <c r="M103" s="23"/>
      <c r="N103" s="23"/>
      <c r="O103" s="50"/>
      <c r="P103" s="50"/>
      <c r="Q103" s="291"/>
      <c r="R103" s="2"/>
      <c r="S103" s="276"/>
      <c r="T103" s="383"/>
      <c r="U103" s="276"/>
      <c r="V103" s="276"/>
      <c r="W103" s="276"/>
      <c r="X103" s="269"/>
      <c r="Y103" s="269"/>
      <c r="Z103" s="269"/>
      <c r="AB103" s="385"/>
      <c r="AC103" s="270"/>
      <c r="AD103" s="270"/>
      <c r="AE103" s="269"/>
      <c r="AF103" s="269"/>
      <c r="AG103" s="269"/>
      <c r="AH103" s="386">
        <v>0.8</v>
      </c>
      <c r="AN103" s="43"/>
      <c r="AO103" s="21" t="s">
        <v>243</v>
      </c>
      <c r="AP103" s="268"/>
      <c r="AQ103" s="268"/>
      <c r="AT103" s="332">
        <f t="shared" ca="1" si="2"/>
        <v>505.5</v>
      </c>
      <c r="AU103" s="385">
        <f t="shared" ca="1" si="7"/>
        <v>43579</v>
      </c>
      <c r="AV103" s="4">
        <v>568.01898180522016</v>
      </c>
      <c r="AW103" s="385">
        <f t="shared" ca="1" si="7"/>
        <v>43579</v>
      </c>
      <c r="AX103" s="4">
        <v>738.22833330491562</v>
      </c>
      <c r="AY103" s="269">
        <f t="shared" ca="1" si="3"/>
        <v>0</v>
      </c>
      <c r="AZ103" s="269">
        <f t="shared" ca="1" si="4"/>
        <v>0</v>
      </c>
      <c r="BA103" s="269">
        <f t="shared" ca="1" si="5"/>
        <v>0</v>
      </c>
      <c r="BB103" s="269">
        <f t="shared" ca="1" si="6"/>
        <v>0</v>
      </c>
    </row>
    <row r="104" spans="1:54" s="4" customFormat="1">
      <c r="A104" s="381"/>
      <c r="J104" s="23"/>
      <c r="K104" s="23"/>
      <c r="L104" s="23"/>
      <c r="M104" s="23"/>
      <c r="N104" s="23"/>
      <c r="O104" s="50"/>
      <c r="P104" s="50"/>
      <c r="Q104" s="291"/>
      <c r="R104" s="2"/>
      <c r="S104" s="276"/>
      <c r="T104" s="383"/>
      <c r="U104" s="276"/>
      <c r="V104" s="276"/>
      <c r="W104" s="276"/>
      <c r="X104" s="269"/>
      <c r="Y104" s="269"/>
      <c r="Z104" s="269"/>
      <c r="AB104" s="385"/>
      <c r="AC104" s="270"/>
      <c r="AD104" s="270"/>
      <c r="AE104" s="269"/>
      <c r="AF104" s="269"/>
      <c r="AG104" s="269"/>
      <c r="AH104" s="386">
        <v>0.79</v>
      </c>
      <c r="AN104" s="418"/>
      <c r="AO104" s="419" t="s">
        <v>0</v>
      </c>
      <c r="AP104" s="21" t="s">
        <v>241</v>
      </c>
      <c r="AQ104" s="268"/>
      <c r="AT104" s="332">
        <f t="shared" ca="1" si="2"/>
        <v>505.5</v>
      </c>
      <c r="AU104" s="385">
        <f t="shared" ca="1" si="7"/>
        <v>43580</v>
      </c>
      <c r="AV104" s="4">
        <v>565.38121817236765</v>
      </c>
      <c r="AW104" s="385">
        <f t="shared" ca="1" si="7"/>
        <v>43580</v>
      </c>
      <c r="AX104" s="4">
        <v>739.3384013242088</v>
      </c>
      <c r="AY104" s="269">
        <f t="shared" ca="1" si="3"/>
        <v>0</v>
      </c>
      <c r="AZ104" s="269">
        <f t="shared" ca="1" si="4"/>
        <v>0</v>
      </c>
      <c r="BA104" s="269">
        <f t="shared" ca="1" si="5"/>
        <v>0</v>
      </c>
      <c r="BB104" s="269">
        <f t="shared" ca="1" si="6"/>
        <v>0</v>
      </c>
    </row>
    <row r="105" spans="1:54" s="4" customFormat="1">
      <c r="A105" s="381"/>
      <c r="J105" s="23"/>
      <c r="K105" s="23"/>
      <c r="L105" s="23"/>
      <c r="M105" s="23"/>
      <c r="N105" s="23"/>
      <c r="O105" s="50"/>
      <c r="P105" s="50"/>
      <c r="Q105" s="291"/>
      <c r="R105" s="2"/>
      <c r="S105" s="276"/>
      <c r="T105" s="383"/>
      <c r="U105" s="276"/>
      <c r="V105" s="276"/>
      <c r="W105" s="276"/>
      <c r="X105" s="269"/>
      <c r="Y105" s="269"/>
      <c r="Z105" s="269"/>
      <c r="AB105" s="385"/>
      <c r="AC105" s="270"/>
      <c r="AD105" s="270"/>
      <c r="AE105" s="269"/>
      <c r="AF105" s="269"/>
      <c r="AG105" s="269"/>
      <c r="AH105" s="386">
        <v>0.78</v>
      </c>
      <c r="AN105" s="345" t="s">
        <v>252</v>
      </c>
      <c r="AO105" s="420">
        <f ca="1">DATE(YEAR(F15)-RMAData!$L$5,MONTH(F15),DAY(F15))</f>
        <v>41039</v>
      </c>
      <c r="AP105" s="420">
        <f ca="1">DATE(YEAR(H15)-RMAData!$L$5,MONTH(H15),DAY(H15))</f>
        <v>41039</v>
      </c>
      <c r="AR105" s="273"/>
      <c r="AS105" s="268"/>
      <c r="AT105" s="332">
        <f t="shared" ca="1" si="2"/>
        <v>505.5</v>
      </c>
      <c r="AU105" s="385">
        <f t="shared" ca="1" si="7"/>
        <v>43581</v>
      </c>
      <c r="AV105" s="4">
        <v>562.69299998635427</v>
      </c>
      <c r="AW105" s="385">
        <f t="shared" ca="1" si="7"/>
        <v>43581</v>
      </c>
      <c r="AX105" s="4">
        <v>740.34693874260415</v>
      </c>
      <c r="AY105" s="269">
        <f t="shared" ca="1" si="3"/>
        <v>0</v>
      </c>
      <c r="AZ105" s="269">
        <f t="shared" ca="1" si="4"/>
        <v>0</v>
      </c>
      <c r="BA105" s="269">
        <f t="shared" ca="1" si="5"/>
        <v>0</v>
      </c>
      <c r="BB105" s="269">
        <f t="shared" ca="1" si="6"/>
        <v>0</v>
      </c>
    </row>
    <row r="106" spans="1:54" s="4" customFormat="1" ht="14.25">
      <c r="A106" s="381"/>
      <c r="C106" s="383"/>
      <c r="D106" s="383"/>
      <c r="E106" s="383"/>
      <c r="F106" s="421"/>
      <c r="G106" s="421"/>
      <c r="H106" s="55"/>
      <c r="I106" s="50"/>
      <c r="J106" s="23"/>
      <c r="K106" s="23"/>
      <c r="L106" s="23"/>
      <c r="M106" s="23"/>
      <c r="N106" s="23"/>
      <c r="O106" s="50"/>
      <c r="P106" s="50"/>
      <c r="Q106" s="291"/>
      <c r="R106" s="2"/>
      <c r="S106" s="276"/>
      <c r="T106" s="383"/>
      <c r="U106" s="276"/>
      <c r="V106" s="276"/>
      <c r="W106" s="276"/>
      <c r="X106" s="269"/>
      <c r="Y106" s="269"/>
      <c r="Z106" s="269"/>
      <c r="AB106" s="385"/>
      <c r="AC106" s="270"/>
      <c r="AD106" s="270"/>
      <c r="AE106" s="269"/>
      <c r="AF106" s="269"/>
      <c r="AG106" s="269"/>
      <c r="AH106" s="386">
        <v>0.77</v>
      </c>
      <c r="AN106" s="19"/>
      <c r="AO106" s="280"/>
      <c r="AP106" s="344"/>
      <c r="AQ106" s="269"/>
      <c r="AR106" s="273"/>
      <c r="AS106" s="268"/>
      <c r="AT106" s="332">
        <f t="shared" ca="1" si="2"/>
        <v>505.5</v>
      </c>
      <c r="AU106" s="385">
        <f t="shared" ca="1" si="7"/>
        <v>43582</v>
      </c>
      <c r="AV106" s="4">
        <v>559.95432725958528</v>
      </c>
      <c r="AW106" s="385">
        <f t="shared" ca="1" si="7"/>
        <v>43582</v>
      </c>
      <c r="AX106" s="4">
        <v>741.25394556010144</v>
      </c>
      <c r="AY106" s="269">
        <f t="shared" ca="1" si="3"/>
        <v>0</v>
      </c>
      <c r="AZ106" s="269">
        <f t="shared" ca="1" si="4"/>
        <v>0</v>
      </c>
      <c r="BA106" s="269">
        <f t="shared" ca="1" si="5"/>
        <v>0</v>
      </c>
      <c r="BB106" s="269">
        <f t="shared" ca="1" si="6"/>
        <v>0</v>
      </c>
    </row>
    <row r="107" spans="1:54" s="4" customFormat="1">
      <c r="A107" s="381"/>
      <c r="C107" s="383"/>
      <c r="D107" s="383"/>
      <c r="E107" s="383"/>
      <c r="F107" s="421"/>
      <c r="G107" s="421"/>
      <c r="H107" s="55"/>
      <c r="I107" s="50"/>
      <c r="J107" s="23"/>
      <c r="K107" s="23"/>
      <c r="L107" s="23"/>
      <c r="M107" s="23"/>
      <c r="N107" s="23"/>
      <c r="O107" s="50"/>
      <c r="P107" s="50"/>
      <c r="Q107" s="291"/>
      <c r="R107" s="2"/>
      <c r="S107" s="276"/>
      <c r="T107" s="383"/>
      <c r="U107" s="276"/>
      <c r="V107" s="276"/>
      <c r="W107" s="276"/>
      <c r="X107" s="269"/>
      <c r="Y107" s="269"/>
      <c r="Z107" s="269"/>
      <c r="AB107" s="385"/>
      <c r="AC107" s="270"/>
      <c r="AD107" s="270"/>
      <c r="AE107" s="269"/>
      <c r="AF107" s="269"/>
      <c r="AG107" s="269"/>
      <c r="AH107" s="386">
        <v>0.76</v>
      </c>
      <c r="AR107" s="399"/>
      <c r="AS107" s="399"/>
      <c r="AT107" s="332">
        <f t="shared" ca="1" si="2"/>
        <v>505.5</v>
      </c>
      <c r="AU107" s="385">
        <f t="shared" ref="AU107:AU170" ca="1" si="8">AU106+1</f>
        <v>43583</v>
      </c>
      <c r="AV107" s="4">
        <v>557.16519997965543</v>
      </c>
      <c r="AW107" s="385">
        <f t="shared" ref="AW107:AW185" ca="1" si="9">AU107</f>
        <v>43583</v>
      </c>
      <c r="AX107" s="4">
        <v>742.05942175816745</v>
      </c>
      <c r="AY107" s="269">
        <f t="shared" ca="1" si="3"/>
        <v>0</v>
      </c>
      <c r="AZ107" s="269">
        <f t="shared" ca="1" si="4"/>
        <v>0</v>
      </c>
      <c r="BA107" s="269">
        <f t="shared" ca="1" si="5"/>
        <v>0</v>
      </c>
      <c r="BB107" s="269">
        <f t="shared" ca="1" si="6"/>
        <v>0</v>
      </c>
    </row>
    <row r="108" spans="1:54" s="4" customFormat="1">
      <c r="A108" s="381"/>
      <c r="C108" s="383"/>
      <c r="D108" s="383"/>
      <c r="E108" s="383"/>
      <c r="F108" s="421"/>
      <c r="G108" s="421"/>
      <c r="H108" s="55"/>
      <c r="I108" s="50"/>
      <c r="J108" s="23"/>
      <c r="K108" s="23"/>
      <c r="L108" s="23"/>
      <c r="M108" s="23"/>
      <c r="N108" s="23"/>
      <c r="O108" s="50"/>
      <c r="P108" s="50"/>
      <c r="Q108" s="291"/>
      <c r="R108" s="2"/>
      <c r="S108" s="276"/>
      <c r="T108" s="383"/>
      <c r="U108" s="276"/>
      <c r="V108" s="276"/>
      <c r="W108" s="276"/>
      <c r="X108" s="269"/>
      <c r="Y108" s="269"/>
      <c r="Z108" s="269"/>
      <c r="AB108" s="385"/>
      <c r="AC108" s="270"/>
      <c r="AD108" s="270"/>
      <c r="AE108" s="269"/>
      <c r="AF108" s="269"/>
      <c r="AG108" s="269"/>
      <c r="AH108" s="386">
        <v>0.75</v>
      </c>
      <c r="AN108" s="399"/>
      <c r="AO108" s="422"/>
      <c r="AP108" s="400"/>
      <c r="AQ108" s="399"/>
      <c r="AR108" s="399"/>
      <c r="AS108" s="399"/>
      <c r="AT108" s="332">
        <f t="shared" ca="1" si="2"/>
        <v>505.5</v>
      </c>
      <c r="AU108" s="385">
        <f t="shared" ca="1" si="8"/>
        <v>43584</v>
      </c>
      <c r="AV108" s="4">
        <v>554.32561817137525</v>
      </c>
      <c r="AW108" s="385">
        <f t="shared" ca="1" si="9"/>
        <v>43584</v>
      </c>
      <c r="AX108" s="4">
        <v>742.76336733680216</v>
      </c>
      <c r="AY108" s="269">
        <f t="shared" ca="1" si="3"/>
        <v>0</v>
      </c>
      <c r="AZ108" s="269">
        <f t="shared" ca="1" si="4"/>
        <v>0</v>
      </c>
      <c r="BA108" s="269">
        <f t="shared" ca="1" si="5"/>
        <v>0</v>
      </c>
      <c r="BB108" s="269">
        <f t="shared" ca="1" si="6"/>
        <v>0</v>
      </c>
    </row>
    <row r="109" spans="1:54" s="4" customFormat="1">
      <c r="A109" s="381"/>
      <c r="C109" s="383"/>
      <c r="D109" s="383"/>
      <c r="E109" s="383"/>
      <c r="F109" s="421"/>
      <c r="G109" s="421"/>
      <c r="H109" s="55"/>
      <c r="I109" s="50"/>
      <c r="J109" s="23"/>
      <c r="K109" s="23"/>
      <c r="L109" s="23"/>
      <c r="M109" s="23"/>
      <c r="N109" s="23"/>
      <c r="O109" s="50"/>
      <c r="P109" s="50"/>
      <c r="Q109" s="291"/>
      <c r="R109" s="2"/>
      <c r="S109" s="276"/>
      <c r="T109" s="383"/>
      <c r="U109" s="276"/>
      <c r="V109" s="276"/>
      <c r="W109" s="276"/>
      <c r="X109" s="269"/>
      <c r="Y109" s="269"/>
      <c r="Z109" s="269"/>
      <c r="AB109" s="385"/>
      <c r="AC109" s="269"/>
      <c r="AD109" s="269"/>
      <c r="AE109" s="269"/>
      <c r="AF109" s="269"/>
      <c r="AG109" s="269"/>
      <c r="AH109" s="386">
        <v>0.74</v>
      </c>
      <c r="AN109" s="399"/>
      <c r="AO109" s="400"/>
      <c r="AP109" s="400"/>
      <c r="AQ109" s="399"/>
      <c r="AR109" s="399"/>
      <c r="AS109" s="399"/>
      <c r="AT109" s="332">
        <f t="shared" ca="1" si="2"/>
        <v>505.5</v>
      </c>
      <c r="AU109" s="385">
        <f t="shared" ca="1" si="8"/>
        <v>43585</v>
      </c>
      <c r="AV109" s="4">
        <v>551.43558180993421</v>
      </c>
      <c r="AW109" s="385">
        <f t="shared" ca="1" si="9"/>
        <v>43585</v>
      </c>
      <c r="AX109" s="4">
        <v>743.36578229600559</v>
      </c>
      <c r="AY109" s="269">
        <f t="shared" ca="1" si="3"/>
        <v>0</v>
      </c>
      <c r="AZ109" s="269">
        <f t="shared" ca="1" si="4"/>
        <v>0</v>
      </c>
      <c r="BA109" s="269">
        <f t="shared" ca="1" si="5"/>
        <v>0</v>
      </c>
      <c r="BB109" s="269">
        <f t="shared" ca="1" si="6"/>
        <v>0</v>
      </c>
    </row>
    <row r="110" spans="1:54" s="4" customFormat="1">
      <c r="A110" s="381"/>
      <c r="C110" s="383"/>
      <c r="D110" s="383"/>
      <c r="E110" s="383"/>
      <c r="F110" s="421"/>
      <c r="G110" s="421"/>
      <c r="H110" s="55"/>
      <c r="I110" s="50"/>
      <c r="J110" s="23"/>
      <c r="K110" s="23"/>
      <c r="L110" s="23"/>
      <c r="M110" s="23"/>
      <c r="N110" s="23"/>
      <c r="O110" s="50"/>
      <c r="P110" s="50"/>
      <c r="Q110" s="291"/>
      <c r="R110" s="2"/>
      <c r="S110" s="276"/>
      <c r="T110" s="383"/>
      <c r="U110" s="276"/>
      <c r="V110" s="276"/>
      <c r="W110" s="276"/>
      <c r="X110" s="269"/>
      <c r="Y110" s="269"/>
      <c r="Z110" s="269"/>
      <c r="AB110" s="385"/>
      <c r="AC110" s="269"/>
      <c r="AD110" s="269"/>
      <c r="AE110" s="269"/>
      <c r="AF110" s="269"/>
      <c r="AG110" s="269"/>
      <c r="AH110" s="386">
        <v>0.73</v>
      </c>
      <c r="AN110" s="399"/>
      <c r="AO110" s="400"/>
      <c r="AP110" s="400"/>
      <c r="AQ110" s="399"/>
      <c r="AR110" s="399"/>
      <c r="AS110" s="399"/>
      <c r="AT110" s="332">
        <f t="shared" ca="1" si="2"/>
        <v>505.5</v>
      </c>
      <c r="AU110" s="385">
        <f t="shared" ca="1" si="8"/>
        <v>43586</v>
      </c>
      <c r="AV110" s="4">
        <v>548.4950908953324</v>
      </c>
      <c r="AW110" s="385">
        <f t="shared" ca="1" si="9"/>
        <v>43586</v>
      </c>
      <c r="AX110" s="4">
        <v>743.86666665431108</v>
      </c>
      <c r="AY110" s="269">
        <f t="shared" ca="1" si="3"/>
        <v>0</v>
      </c>
      <c r="AZ110" s="269">
        <f t="shared" ca="1" si="4"/>
        <v>0</v>
      </c>
      <c r="BA110" s="269">
        <f t="shared" ca="1" si="5"/>
        <v>0</v>
      </c>
      <c r="BB110" s="269">
        <f t="shared" ca="1" si="6"/>
        <v>0</v>
      </c>
    </row>
    <row r="111" spans="1:54" s="4" customFormat="1">
      <c r="A111" s="381"/>
      <c r="C111" s="383"/>
      <c r="D111" s="383"/>
      <c r="E111" s="383"/>
      <c r="F111" s="421"/>
      <c r="G111" s="421"/>
      <c r="H111" s="55"/>
      <c r="I111" s="50"/>
      <c r="J111" s="23"/>
      <c r="K111" s="23"/>
      <c r="L111" s="23"/>
      <c r="M111" s="23"/>
      <c r="N111" s="23"/>
      <c r="O111" s="50"/>
      <c r="P111" s="50"/>
      <c r="S111" s="276"/>
      <c r="T111" s="383"/>
      <c r="U111" s="276"/>
      <c r="V111" s="276"/>
      <c r="W111" s="276"/>
      <c r="X111" s="269"/>
      <c r="Y111" s="269"/>
      <c r="Z111" s="269"/>
      <c r="AB111" s="385"/>
      <c r="AC111" s="269"/>
      <c r="AD111" s="269"/>
      <c r="AE111" s="269"/>
      <c r="AF111" s="269"/>
      <c r="AG111" s="269"/>
      <c r="AH111" s="386">
        <v>0.72</v>
      </c>
      <c r="AN111" s="423" t="s">
        <v>254</v>
      </c>
      <c r="AO111" s="400"/>
      <c r="AP111" s="400"/>
      <c r="AQ111" s="399"/>
      <c r="AR111" s="399"/>
      <c r="AS111" s="399"/>
      <c r="AT111" s="332">
        <f t="shared" ca="1" si="2"/>
        <v>505.5</v>
      </c>
      <c r="AU111" s="385">
        <f t="shared" ca="1" si="8"/>
        <v>43587</v>
      </c>
      <c r="AV111" s="4">
        <v>545.50414544617763</v>
      </c>
      <c r="AW111" s="385">
        <f t="shared" ca="1" si="9"/>
        <v>43587</v>
      </c>
      <c r="AX111" s="4">
        <v>744.26602041171861</v>
      </c>
      <c r="AY111" s="269">
        <f t="shared" ca="1" si="3"/>
        <v>0</v>
      </c>
      <c r="AZ111" s="269">
        <f t="shared" ca="1" si="4"/>
        <v>0</v>
      </c>
      <c r="BA111" s="269">
        <f t="shared" ca="1" si="5"/>
        <v>0</v>
      </c>
      <c r="BB111" s="269">
        <f t="shared" ca="1" si="6"/>
        <v>0</v>
      </c>
    </row>
    <row r="112" spans="1:54" s="4" customFormat="1">
      <c r="A112" s="381"/>
      <c r="C112" s="383"/>
      <c r="D112" s="383"/>
      <c r="E112" s="383"/>
      <c r="F112" s="421"/>
      <c r="G112" s="421"/>
      <c r="H112" s="55"/>
      <c r="I112" s="50"/>
      <c r="J112" s="23"/>
      <c r="K112" s="23"/>
      <c r="L112" s="23"/>
      <c r="M112" s="23"/>
      <c r="N112" s="23"/>
      <c r="O112" s="50"/>
      <c r="P112" s="50"/>
      <c r="S112" s="276"/>
      <c r="T112" s="383"/>
      <c r="U112" s="276"/>
      <c r="V112" s="276"/>
      <c r="W112" s="276"/>
      <c r="X112" s="269"/>
      <c r="Y112" s="269"/>
      <c r="Z112" s="269"/>
      <c r="AB112" s="385"/>
      <c r="AC112" s="269"/>
      <c r="AD112" s="269"/>
      <c r="AE112" s="269"/>
      <c r="AF112" s="269"/>
      <c r="AG112" s="269"/>
      <c r="AH112" s="386">
        <v>0.71</v>
      </c>
      <c r="AN112" s="383"/>
      <c r="AO112" s="424" t="s">
        <v>38</v>
      </c>
      <c r="AP112" s="421"/>
      <c r="AQ112" s="200" t="s">
        <v>40</v>
      </c>
      <c r="AS112" s="55"/>
      <c r="AT112" s="332">
        <f t="shared" ca="1" si="2"/>
        <v>505.5</v>
      </c>
      <c r="AU112" s="385">
        <f t="shared" ca="1" si="8"/>
        <v>43588</v>
      </c>
      <c r="AV112" s="4">
        <v>542.46274543765935</v>
      </c>
      <c r="AW112" s="385">
        <f t="shared" ca="1" si="9"/>
        <v>43588</v>
      </c>
      <c r="AX112" s="4">
        <v>744.56384353116152</v>
      </c>
      <c r="AY112" s="269">
        <f t="shared" ca="1" si="3"/>
        <v>0</v>
      </c>
      <c r="AZ112" s="269">
        <f t="shared" ca="1" si="4"/>
        <v>0</v>
      </c>
      <c r="BA112" s="269">
        <f t="shared" ca="1" si="5"/>
        <v>0</v>
      </c>
      <c r="BB112" s="269">
        <f t="shared" ca="1" si="6"/>
        <v>0</v>
      </c>
    </row>
    <row r="113" spans="1:54" s="4" customFormat="1">
      <c r="A113" s="381"/>
      <c r="C113" s="383"/>
      <c r="D113" s="383"/>
      <c r="E113" s="383"/>
      <c r="F113" s="421"/>
      <c r="G113" s="421"/>
      <c r="H113" s="55"/>
      <c r="I113" s="50"/>
      <c r="J113" s="23"/>
      <c r="K113" s="23"/>
      <c r="L113" s="23"/>
      <c r="M113" s="23"/>
      <c r="N113" s="23"/>
      <c r="O113" s="50"/>
      <c r="P113" s="50"/>
      <c r="S113" s="276"/>
      <c r="T113" s="383"/>
      <c r="U113" s="276"/>
      <c r="V113" s="276"/>
      <c r="W113" s="276"/>
      <c r="X113" s="269"/>
      <c r="Y113" s="269"/>
      <c r="Z113" s="269"/>
      <c r="AB113" s="385"/>
      <c r="AC113" s="269"/>
      <c r="AD113" s="269"/>
      <c r="AE113" s="269"/>
      <c r="AF113" s="269"/>
      <c r="AG113" s="269"/>
      <c r="AH113" s="386">
        <v>0.7</v>
      </c>
      <c r="AN113" s="424" t="s">
        <v>253</v>
      </c>
      <c r="AO113" s="19" t="s">
        <v>0</v>
      </c>
      <c r="AP113" s="19" t="s">
        <v>241</v>
      </c>
      <c r="AQ113" s="19" t="s">
        <v>0</v>
      </c>
      <c r="AR113" s="19" t="s">
        <v>241</v>
      </c>
      <c r="AT113" s="332">
        <f t="shared" ca="1" si="2"/>
        <v>505.5</v>
      </c>
      <c r="AU113" s="385">
        <f t="shared" ca="1" si="8"/>
        <v>43589</v>
      </c>
      <c r="AV113" s="4">
        <v>539.37089090079076</v>
      </c>
      <c r="AW113" s="385">
        <f t="shared" ca="1" si="9"/>
        <v>43589</v>
      </c>
      <c r="AX113" s="4">
        <v>744.76013604970649</v>
      </c>
      <c r="AY113" s="269">
        <f t="shared" ca="1" si="3"/>
        <v>0</v>
      </c>
      <c r="AZ113" s="269">
        <f t="shared" ca="1" si="4"/>
        <v>0</v>
      </c>
      <c r="BA113" s="269">
        <f t="shared" ca="1" si="5"/>
        <v>0</v>
      </c>
      <c r="BB113" s="269">
        <f t="shared" ca="1" si="6"/>
        <v>0</v>
      </c>
    </row>
    <row r="114" spans="1:54">
      <c r="C114" s="373"/>
      <c r="D114" s="373"/>
      <c r="E114" s="373"/>
      <c r="F114" s="276"/>
      <c r="G114" s="276"/>
      <c r="H114" s="276"/>
      <c r="I114" s="276"/>
      <c r="J114" s="276"/>
      <c r="L114" s="276"/>
      <c r="M114" s="276"/>
      <c r="N114" s="276"/>
      <c r="O114" s="276"/>
      <c r="P114" s="276"/>
      <c r="S114" s="276"/>
      <c r="T114" s="383"/>
      <c r="U114" s="276"/>
      <c r="V114" s="276"/>
      <c r="W114" s="276"/>
      <c r="AB114" s="385"/>
      <c r="AH114" s="386">
        <v>0.69</v>
      </c>
      <c r="AN114" s="424" t="s">
        <v>238</v>
      </c>
      <c r="AO114" s="425">
        <v>-6358381.1318135969</v>
      </c>
      <c r="AP114" s="425">
        <v>-17181786.020406116</v>
      </c>
      <c r="AQ114" s="425">
        <v>-10434114.083420666</v>
      </c>
      <c r="AR114" s="425">
        <v>-14710355.179590281</v>
      </c>
      <c r="AT114" s="332">
        <f t="shared" ca="1" si="2"/>
        <v>505.5</v>
      </c>
      <c r="AU114" s="385">
        <f t="shared" ca="1" si="8"/>
        <v>43590</v>
      </c>
      <c r="AV114" s="269">
        <v>536.22858180455864</v>
      </c>
      <c r="AW114" s="385">
        <f t="shared" ca="1" si="9"/>
        <v>43590</v>
      </c>
      <c r="AX114" s="269">
        <v>744.85489796735351</v>
      </c>
      <c r="AY114" s="269">
        <f t="shared" ca="1" si="3"/>
        <v>0</v>
      </c>
      <c r="AZ114" s="269">
        <f t="shared" ca="1" si="4"/>
        <v>0</v>
      </c>
      <c r="BA114" s="269">
        <f t="shared" ca="1" si="5"/>
        <v>0</v>
      </c>
      <c r="BB114" s="269">
        <f t="shared" ca="1" si="6"/>
        <v>0</v>
      </c>
    </row>
    <row r="115" spans="1:54">
      <c r="C115" s="276"/>
      <c r="D115" s="276"/>
      <c r="E115" s="276"/>
      <c r="F115" s="276"/>
      <c r="G115" s="276"/>
      <c r="H115" s="276"/>
      <c r="I115" s="276"/>
      <c r="J115" s="276"/>
      <c r="L115" s="276"/>
      <c r="M115" s="276"/>
      <c r="N115" s="276"/>
      <c r="O115" s="276"/>
      <c r="P115" s="276"/>
      <c r="S115" s="276"/>
      <c r="T115" s="383"/>
      <c r="U115" s="276"/>
      <c r="V115" s="276"/>
      <c r="W115" s="276"/>
      <c r="AB115" s="385"/>
      <c r="AH115" s="386">
        <v>0.68</v>
      </c>
      <c r="AN115" s="424" t="s">
        <v>239</v>
      </c>
      <c r="AO115" s="425">
        <v>310.3880303028069</v>
      </c>
      <c r="AP115" s="425">
        <v>837.43741496588643</v>
      </c>
      <c r="AQ115" s="425">
        <v>509.25824175844087</v>
      </c>
      <c r="AR115" s="425">
        <v>716.93910018545284</v>
      </c>
      <c r="AT115" s="332">
        <f t="shared" ref="AT115:AT146" ca="1" si="10">IF(AU115&lt;$AO$97,NA(),$J$50)</f>
        <v>505.5</v>
      </c>
      <c r="AU115" s="385">
        <f t="shared" ca="1" si="8"/>
        <v>43591</v>
      </c>
      <c r="AV115" s="269">
        <v>533.03581817377358</v>
      </c>
      <c r="AW115" s="385">
        <f t="shared" ca="1" si="9"/>
        <v>43591</v>
      </c>
      <c r="AX115" s="269">
        <v>744.84812922850256</v>
      </c>
      <c r="AY115" s="269">
        <f t="shared" ca="1" si="3"/>
        <v>0</v>
      </c>
      <c r="AZ115" s="269">
        <f t="shared" ca="1" si="4"/>
        <v>0</v>
      </c>
      <c r="BA115" s="269">
        <f t="shared" ca="1" si="5"/>
        <v>0</v>
      </c>
      <c r="BB115" s="269">
        <f t="shared" ca="1" si="6"/>
        <v>0</v>
      </c>
    </row>
    <row r="116" spans="1:54" ht="13.5" thickBot="1">
      <c r="S116" s="276"/>
      <c r="T116" s="383"/>
      <c r="U116" s="276"/>
      <c r="V116" s="276"/>
      <c r="W116" s="276"/>
      <c r="AB116" s="385"/>
      <c r="AH116" s="386">
        <v>0.67</v>
      </c>
      <c r="AN116" s="424" t="s">
        <v>240</v>
      </c>
      <c r="AO116" s="426">
        <v>-3.7878787878760675E-3</v>
      </c>
      <c r="AP116" s="426">
        <v>-1.0204081632651843E-2</v>
      </c>
      <c r="AQ116" s="426">
        <v>-6.2137862137886402E-3</v>
      </c>
      <c r="AR116" s="426">
        <v>-8.7353123067399532E-3</v>
      </c>
      <c r="AT116" s="332">
        <f t="shared" ca="1" si="10"/>
        <v>505.5</v>
      </c>
      <c r="AU116" s="385">
        <f t="shared" ca="1" si="8"/>
        <v>43592</v>
      </c>
      <c r="AV116" s="269">
        <v>529.79259998362511</v>
      </c>
      <c r="AW116" s="385">
        <f t="shared" ca="1" si="9"/>
        <v>43592</v>
      </c>
      <c r="AX116" s="269">
        <v>744.73982990728689</v>
      </c>
      <c r="AY116" s="269">
        <f t="shared" ref="AY116:AY147" ca="1" si="11">IF(AND(AU116&gt;=$AO$95,AU116&lt;=$AO$95+$AO$96),1000,0)</f>
        <v>0</v>
      </c>
      <c r="AZ116" s="269">
        <f t="shared" ref="AZ116:AZ147" ca="1" si="12">IF(AU116=$AO$97,1000,0)</f>
        <v>0</v>
      </c>
      <c r="BA116" s="269">
        <f t="shared" ref="BA116:BA147" ca="1" si="13">IF(AU116=$AP$97,1000,0)</f>
        <v>0</v>
      </c>
      <c r="BB116" s="269">
        <f t="shared" ref="BB116:BB147" ca="1" si="14">IF(AND(AU116&gt;=$AP$95,AU116&lt;=$AP$95+$AP$96),1000,0)</f>
        <v>0</v>
      </c>
    </row>
    <row r="117" spans="1:54">
      <c r="S117" s="276"/>
      <c r="T117" s="383"/>
      <c r="U117" s="276"/>
      <c r="V117" s="276"/>
      <c r="W117" s="276"/>
      <c r="AB117" s="385"/>
      <c r="AH117" s="386">
        <v>0.66</v>
      </c>
      <c r="AN117" s="424" t="s">
        <v>242</v>
      </c>
      <c r="AO117" s="386">
        <f ca="1">(AO114+$AO$105*AO115+$AO$105^2*AO116)/100</f>
        <v>0.89603636361658578</v>
      </c>
      <c r="AP117" s="386">
        <f ca="1">(AP114+$AP$105*AP115+$AP$105^2*AP116)/100</f>
        <v>0.98654421765357259</v>
      </c>
      <c r="AQ117" s="386">
        <f ca="1">(AQ114+$AO$105*AQ115+$AO$105^2*AQ116)/100</f>
        <v>0.79135244756937029</v>
      </c>
      <c r="AR117" s="386">
        <f ca="1">(AR114+$AP$105*AR115+$AP$105^2*AR116)/100</f>
        <v>0.99750123681500558</v>
      </c>
      <c r="AT117" s="332">
        <f t="shared" ca="1" si="10"/>
        <v>505.5</v>
      </c>
      <c r="AU117" s="385">
        <f t="shared" ca="1" si="8"/>
        <v>43593</v>
      </c>
      <c r="AV117" s="269">
        <v>526.49892725892369</v>
      </c>
      <c r="AW117" s="385">
        <f t="shared" ca="1" si="9"/>
        <v>43593</v>
      </c>
      <c r="AX117" s="269">
        <v>744.52999998517339</v>
      </c>
      <c r="AY117" s="269">
        <f t="shared" ca="1" si="11"/>
        <v>0</v>
      </c>
      <c r="AZ117" s="269">
        <f t="shared" ca="1" si="12"/>
        <v>0</v>
      </c>
      <c r="BA117" s="269">
        <f t="shared" ca="1" si="13"/>
        <v>0</v>
      </c>
      <c r="BB117" s="269">
        <f t="shared" ca="1" si="14"/>
        <v>0</v>
      </c>
    </row>
    <row r="118" spans="1:54">
      <c r="S118" s="276"/>
      <c r="T118" s="383"/>
      <c r="U118" s="276"/>
      <c r="V118" s="276"/>
      <c r="W118" s="276"/>
      <c r="AB118" s="385"/>
      <c r="AH118" s="386">
        <v>0.65</v>
      </c>
      <c r="AO118" s="425"/>
      <c r="AQ118" s="425"/>
      <c r="AT118" s="332">
        <f t="shared" ca="1" si="10"/>
        <v>505.5</v>
      </c>
      <c r="AU118" s="385">
        <f t="shared" ca="1" si="8"/>
        <v>43594</v>
      </c>
      <c r="AV118" s="269">
        <v>523.15479999346667</v>
      </c>
      <c r="AW118" s="385">
        <f t="shared" ca="1" si="9"/>
        <v>43594</v>
      </c>
      <c r="AX118" s="269">
        <v>744.21863944362849</v>
      </c>
      <c r="AY118" s="269">
        <f t="shared" ca="1" si="11"/>
        <v>0</v>
      </c>
      <c r="AZ118" s="269">
        <f t="shared" ca="1" si="12"/>
        <v>0</v>
      </c>
      <c r="BA118" s="269">
        <f t="shared" ca="1" si="13"/>
        <v>0</v>
      </c>
      <c r="BB118" s="269">
        <f t="shared" ca="1" si="14"/>
        <v>0</v>
      </c>
    </row>
    <row r="119" spans="1:54">
      <c r="S119" s="276"/>
      <c r="T119" s="383"/>
      <c r="U119" s="276"/>
      <c r="V119" s="276"/>
      <c r="W119" s="276"/>
      <c r="AB119" s="385"/>
      <c r="AH119" s="386">
        <v>0.64</v>
      </c>
      <c r="AT119" s="332">
        <f t="shared" ca="1" si="10"/>
        <v>505.5</v>
      </c>
      <c r="AU119" s="385">
        <f t="shared" ca="1" si="8"/>
        <v>43595</v>
      </c>
      <c r="AV119" s="269">
        <v>519.76021816864613</v>
      </c>
      <c r="AW119" s="385">
        <f t="shared" ca="1" si="9"/>
        <v>43595</v>
      </c>
      <c r="AX119" s="269">
        <v>743.8057482826523</v>
      </c>
      <c r="AY119" s="269">
        <f t="shared" ca="1" si="11"/>
        <v>0</v>
      </c>
      <c r="AZ119" s="269">
        <f t="shared" ca="1" si="12"/>
        <v>0</v>
      </c>
      <c r="BA119" s="269">
        <f t="shared" ca="1" si="13"/>
        <v>0</v>
      </c>
      <c r="BB119" s="269">
        <f t="shared" ca="1" si="14"/>
        <v>0</v>
      </c>
    </row>
    <row r="120" spans="1:54">
      <c r="S120" s="276"/>
      <c r="T120" s="383"/>
      <c r="U120" s="276"/>
      <c r="V120" s="276"/>
      <c r="W120" s="276"/>
      <c r="AB120" s="385"/>
      <c r="AH120" s="386">
        <v>0.63</v>
      </c>
      <c r="AN120" s="424" t="s">
        <v>251</v>
      </c>
      <c r="AT120" s="332">
        <f t="shared" ca="1" si="10"/>
        <v>505.5</v>
      </c>
      <c r="AU120" s="385">
        <f t="shared" ca="1" si="8"/>
        <v>43596</v>
      </c>
      <c r="AV120" s="269">
        <v>516.31518180927264</v>
      </c>
      <c r="AW120" s="385">
        <f t="shared" ca="1" si="9"/>
        <v>43596</v>
      </c>
      <c r="AX120" s="269">
        <v>743.29132652077828</v>
      </c>
      <c r="AY120" s="269">
        <f t="shared" ca="1" si="11"/>
        <v>0</v>
      </c>
      <c r="AZ120" s="269">
        <f t="shared" ca="1" si="12"/>
        <v>0</v>
      </c>
      <c r="BA120" s="269">
        <f t="shared" ca="1" si="13"/>
        <v>0</v>
      </c>
      <c r="BB120" s="269">
        <f t="shared" ca="1" si="14"/>
        <v>0</v>
      </c>
    </row>
    <row r="121" spans="1:54">
      <c r="S121" s="276"/>
      <c r="T121" s="383"/>
      <c r="U121" s="276"/>
      <c r="V121" s="276"/>
      <c r="W121" s="276"/>
      <c r="AB121" s="385"/>
      <c r="AH121" s="386">
        <v>0.62</v>
      </c>
      <c r="AN121" s="424" t="s">
        <v>255</v>
      </c>
      <c r="AO121" s="427">
        <v>41030</v>
      </c>
      <c r="AP121" s="427">
        <v>41037</v>
      </c>
      <c r="AQ121" s="427">
        <v>41000</v>
      </c>
      <c r="AR121" s="427">
        <v>41037</v>
      </c>
      <c r="AT121" s="332">
        <f t="shared" ca="1" si="10"/>
        <v>505.5</v>
      </c>
      <c r="AU121" s="385">
        <f t="shared" ca="1" si="8"/>
        <v>43597</v>
      </c>
      <c r="AV121" s="269">
        <v>512.81969089673828</v>
      </c>
      <c r="AW121" s="385">
        <f t="shared" ca="1" si="9"/>
        <v>43597</v>
      </c>
      <c r="AX121" s="269">
        <v>742.67537413947286</v>
      </c>
      <c r="AY121" s="269">
        <f t="shared" ca="1" si="11"/>
        <v>0</v>
      </c>
      <c r="AZ121" s="269">
        <f t="shared" ca="1" si="12"/>
        <v>0</v>
      </c>
      <c r="BA121" s="269">
        <f t="shared" ca="1" si="13"/>
        <v>0</v>
      </c>
      <c r="BB121" s="269">
        <f t="shared" ca="1" si="14"/>
        <v>0</v>
      </c>
    </row>
    <row r="122" spans="1:54">
      <c r="S122" s="276"/>
      <c r="T122" s="383"/>
      <c r="U122" s="276"/>
      <c r="V122" s="276"/>
      <c r="W122" s="276"/>
      <c r="AB122" s="385"/>
      <c r="AH122" s="386">
        <v>0.61</v>
      </c>
      <c r="AN122" s="424" t="s">
        <v>256</v>
      </c>
      <c r="AO122" s="427">
        <v>41075</v>
      </c>
      <c r="AP122" s="427">
        <v>41100</v>
      </c>
      <c r="AQ122" s="427">
        <v>41055</v>
      </c>
      <c r="AR122" s="427">
        <v>41100</v>
      </c>
      <c r="AT122" s="332">
        <f t="shared" ca="1" si="10"/>
        <v>505.5</v>
      </c>
      <c r="AU122" s="385">
        <f t="shared" ca="1" si="8"/>
        <v>43598</v>
      </c>
      <c r="AV122" s="269">
        <v>509.27374544344838</v>
      </c>
      <c r="AW122" s="385">
        <f t="shared" ca="1" si="9"/>
        <v>43598</v>
      </c>
      <c r="AX122" s="269">
        <v>741.9578911572695</v>
      </c>
      <c r="AY122" s="269">
        <f t="shared" ca="1" si="11"/>
        <v>0</v>
      </c>
      <c r="AZ122" s="269">
        <f t="shared" ca="1" si="12"/>
        <v>0</v>
      </c>
      <c r="BA122" s="269">
        <f t="shared" ca="1" si="13"/>
        <v>0</v>
      </c>
      <c r="BB122" s="269">
        <f t="shared" ca="1" si="14"/>
        <v>0</v>
      </c>
    </row>
    <row r="123" spans="1:54">
      <c r="S123" s="276"/>
      <c r="T123" s="383"/>
      <c r="U123" s="276"/>
      <c r="V123" s="276"/>
      <c r="W123" s="276"/>
      <c r="AB123" s="385"/>
      <c r="AH123" s="386">
        <v>0.6</v>
      </c>
      <c r="AN123" s="424" t="s">
        <v>244</v>
      </c>
      <c r="AO123" s="427">
        <f ca="1">DATE(YEAR(AO121)+RMAData!$L$5,MONTH(AO121),DAY(AO121))</f>
        <v>43586</v>
      </c>
      <c r="AP123" s="427">
        <f ca="1">DATE(YEAR(AP121)+RMAData!$L$5,MONTH(AP121),DAY(AP121))</f>
        <v>43593</v>
      </c>
      <c r="AQ123" s="427">
        <f ca="1">DATE(YEAR(AQ121)+RMAData!$L$5,MONTH(AQ121),DAY(AQ121))</f>
        <v>43556</v>
      </c>
      <c r="AR123" s="427">
        <f ca="1">DATE(YEAR(AR121)+RMAData!$L$5,MONTH(AR121),DAY(AR121))</f>
        <v>43593</v>
      </c>
      <c r="AT123" s="332">
        <f t="shared" ca="1" si="10"/>
        <v>505.5</v>
      </c>
      <c r="AU123" s="385">
        <f t="shared" ca="1" si="8"/>
        <v>43599</v>
      </c>
      <c r="AV123" s="269">
        <v>505.67734543699771</v>
      </c>
      <c r="AW123" s="385">
        <f t="shared" ca="1" si="9"/>
        <v>43599</v>
      </c>
      <c r="AX123" s="269">
        <v>741.13887755563485</v>
      </c>
      <c r="AY123" s="269">
        <f t="shared" ca="1" si="11"/>
        <v>0</v>
      </c>
      <c r="AZ123" s="269">
        <f t="shared" ca="1" si="12"/>
        <v>0</v>
      </c>
      <c r="BA123" s="269">
        <f t="shared" ca="1" si="13"/>
        <v>0</v>
      </c>
      <c r="BB123" s="269">
        <f t="shared" ca="1" si="14"/>
        <v>0</v>
      </c>
    </row>
    <row r="124" spans="1:54">
      <c r="S124" s="276"/>
      <c r="T124" s="383"/>
      <c r="U124" s="276"/>
      <c r="V124" s="276"/>
      <c r="W124" s="276"/>
      <c r="AB124" s="385"/>
      <c r="AN124" s="424" t="s">
        <v>245</v>
      </c>
      <c r="AO124" s="427">
        <f ca="1">DATE(YEAR(AO122)+RMAData!$L$5,MONTH(AO122),DAY(AO122))</f>
        <v>43631</v>
      </c>
      <c r="AP124" s="427">
        <f ca="1">DATE(YEAR(AP122)+RMAData!$L$5,MONTH(AP122),DAY(AP122))</f>
        <v>43656</v>
      </c>
      <c r="AQ124" s="427">
        <f ca="1">DATE(YEAR(AQ122)+RMAData!$L$5,MONTH(AQ122),DAY(AQ122))</f>
        <v>43611</v>
      </c>
      <c r="AR124" s="427">
        <f ca="1">DATE(YEAR(AR122)+RMAData!$L$5,MONTH(AR122),DAY(AR122))</f>
        <v>43656</v>
      </c>
      <c r="AT124" s="332">
        <f t="shared" ca="1" si="10"/>
        <v>505.5</v>
      </c>
      <c r="AU124" s="385">
        <f t="shared" ca="1" si="8"/>
        <v>43600</v>
      </c>
      <c r="AV124" s="269">
        <v>502.03049089599398</v>
      </c>
      <c r="AW124" s="385">
        <f t="shared" ca="1" si="9"/>
        <v>43600</v>
      </c>
      <c r="AX124" s="269">
        <v>740.21833333456891</v>
      </c>
      <c r="AY124" s="269">
        <f t="shared" ca="1" si="11"/>
        <v>0</v>
      </c>
      <c r="AZ124" s="269">
        <f t="shared" ca="1" si="12"/>
        <v>0</v>
      </c>
      <c r="BA124" s="269">
        <f t="shared" ca="1" si="13"/>
        <v>0</v>
      </c>
      <c r="BB124" s="269">
        <f t="shared" ca="1" si="14"/>
        <v>0</v>
      </c>
    </row>
    <row r="125" spans="1:54">
      <c r="S125" s="276"/>
      <c r="T125" s="383"/>
      <c r="U125" s="276"/>
      <c r="V125" s="276"/>
      <c r="W125" s="276"/>
      <c r="AB125" s="385"/>
      <c r="AT125" s="332">
        <f t="shared" ca="1" si="10"/>
        <v>505.5</v>
      </c>
      <c r="AU125" s="385">
        <f t="shared" ca="1" si="8"/>
        <v>43601</v>
      </c>
      <c r="AV125" s="269">
        <v>498.33318180182948</v>
      </c>
      <c r="AW125" s="385">
        <f t="shared" ca="1" si="9"/>
        <v>43601</v>
      </c>
      <c r="AX125" s="269">
        <v>739.19625851260503</v>
      </c>
      <c r="AY125" s="269">
        <f t="shared" ca="1" si="11"/>
        <v>0</v>
      </c>
      <c r="AZ125" s="269">
        <f t="shared" ca="1" si="12"/>
        <v>0</v>
      </c>
      <c r="BA125" s="269">
        <f t="shared" ca="1" si="13"/>
        <v>0</v>
      </c>
      <c r="BB125" s="269">
        <f t="shared" ca="1" si="14"/>
        <v>0</v>
      </c>
    </row>
    <row r="126" spans="1:54">
      <c r="S126" s="276"/>
      <c r="T126" s="383"/>
      <c r="U126" s="276"/>
      <c r="V126" s="276"/>
      <c r="W126" s="276"/>
      <c r="AB126" s="385"/>
      <c r="AT126" s="332">
        <f t="shared" ca="1" si="10"/>
        <v>505.5</v>
      </c>
      <c r="AU126" s="385">
        <f t="shared" ca="1" si="8"/>
        <v>43602</v>
      </c>
      <c r="AV126" s="269">
        <v>494.58541817311198</v>
      </c>
      <c r="AW126" s="385">
        <f t="shared" ca="1" si="9"/>
        <v>43602</v>
      </c>
      <c r="AX126" s="269">
        <v>738.07265307120974</v>
      </c>
      <c r="AY126" s="269">
        <f t="shared" ca="1" si="11"/>
        <v>0</v>
      </c>
      <c r="AZ126" s="269">
        <f t="shared" ca="1" si="12"/>
        <v>0</v>
      </c>
      <c r="BA126" s="269">
        <f t="shared" ca="1" si="13"/>
        <v>0</v>
      </c>
      <c r="BB126" s="269">
        <f t="shared" ca="1" si="14"/>
        <v>0</v>
      </c>
    </row>
    <row r="127" spans="1:54">
      <c r="S127" s="276"/>
      <c r="T127" s="383"/>
      <c r="U127" s="276"/>
      <c r="V127" s="276"/>
      <c r="W127" s="276"/>
      <c r="AB127" s="385"/>
      <c r="AN127" s="424"/>
      <c r="AT127" s="332">
        <f t="shared" ca="1" si="10"/>
        <v>505.5</v>
      </c>
      <c r="AU127" s="385">
        <f t="shared" ca="1" si="8"/>
        <v>43603</v>
      </c>
      <c r="AV127" s="269">
        <v>490.78719997882843</v>
      </c>
      <c r="AW127" s="385">
        <f t="shared" ca="1" si="9"/>
        <v>43603</v>
      </c>
      <c r="AX127" s="269">
        <v>736.84751697331671</v>
      </c>
      <c r="AY127" s="269">
        <f t="shared" ca="1" si="11"/>
        <v>0</v>
      </c>
      <c r="AZ127" s="269">
        <f t="shared" ca="1" si="12"/>
        <v>0</v>
      </c>
      <c r="BA127" s="269">
        <f t="shared" ca="1" si="13"/>
        <v>0</v>
      </c>
      <c r="BB127" s="269">
        <f t="shared" ca="1" si="14"/>
        <v>0</v>
      </c>
    </row>
    <row r="128" spans="1:54">
      <c r="S128" s="276"/>
      <c r="T128" s="383"/>
      <c r="U128" s="276"/>
      <c r="V128" s="276"/>
      <c r="W128" s="276"/>
      <c r="AB128" s="385"/>
      <c r="AT128" s="332">
        <f t="shared" ca="1" si="10"/>
        <v>505.5</v>
      </c>
      <c r="AU128" s="385">
        <f t="shared" ca="1" si="8"/>
        <v>43604</v>
      </c>
      <c r="AV128" s="269">
        <v>486.93852726239709</v>
      </c>
      <c r="AW128" s="385">
        <f t="shared" ca="1" si="9"/>
        <v>43604</v>
      </c>
      <c r="AX128" s="269">
        <v>735.5208503115922</v>
      </c>
      <c r="AY128" s="269">
        <f t="shared" ca="1" si="11"/>
        <v>0</v>
      </c>
      <c r="AZ128" s="269">
        <f t="shared" ca="1" si="12"/>
        <v>0</v>
      </c>
      <c r="BA128" s="269">
        <f t="shared" ca="1" si="13"/>
        <v>0</v>
      </c>
      <c r="BB128" s="269">
        <f t="shared" ca="1" si="14"/>
        <v>0</v>
      </c>
    </row>
    <row r="129" spans="19:54">
      <c r="S129" s="276"/>
      <c r="T129" s="383"/>
      <c r="U129" s="276"/>
      <c r="V129" s="276"/>
      <c r="W129" s="276"/>
      <c r="AB129" s="385"/>
      <c r="AT129" s="332">
        <f t="shared" ca="1" si="10"/>
        <v>505.5</v>
      </c>
      <c r="AU129" s="385">
        <f t="shared" ca="1" si="8"/>
        <v>43605</v>
      </c>
      <c r="AV129" s="269">
        <v>483.03939999280487</v>
      </c>
      <c r="AW129" s="385">
        <f t="shared" ca="1" si="9"/>
        <v>43605</v>
      </c>
      <c r="AX129" s="269">
        <v>734.09265303043651</v>
      </c>
      <c r="AY129" s="269">
        <f t="shared" ca="1" si="11"/>
        <v>0</v>
      </c>
      <c r="AZ129" s="269">
        <f t="shared" ca="1" si="12"/>
        <v>0</v>
      </c>
      <c r="BA129" s="269">
        <f t="shared" ca="1" si="13"/>
        <v>0</v>
      </c>
      <c r="BB129" s="269">
        <f t="shared" ca="1" si="14"/>
        <v>0</v>
      </c>
    </row>
    <row r="130" spans="19:54">
      <c r="S130" s="276"/>
      <c r="T130" s="383"/>
      <c r="U130" s="276"/>
      <c r="V130" s="276"/>
      <c r="W130" s="276"/>
      <c r="AB130" s="385"/>
      <c r="AT130" s="332">
        <f t="shared" ca="1" si="10"/>
        <v>505.5</v>
      </c>
      <c r="AU130" s="385">
        <f t="shared" ca="1" si="8"/>
        <v>43606</v>
      </c>
      <c r="AV130" s="269">
        <v>479.08981817005207</v>
      </c>
      <c r="AW130" s="385">
        <f t="shared" ca="1" si="9"/>
        <v>43606</v>
      </c>
      <c r="AX130" s="269">
        <v>732.56292514838276</v>
      </c>
      <c r="AY130" s="269">
        <f t="shared" ca="1" si="11"/>
        <v>0</v>
      </c>
      <c r="AZ130" s="269">
        <f t="shared" ca="1" si="12"/>
        <v>0</v>
      </c>
      <c r="BA130" s="269">
        <f t="shared" ca="1" si="13"/>
        <v>0</v>
      </c>
      <c r="BB130" s="269">
        <f t="shared" ca="1" si="14"/>
        <v>0</v>
      </c>
    </row>
    <row r="131" spans="19:54">
      <c r="S131" s="276"/>
      <c r="T131" s="383"/>
      <c r="U131" s="276"/>
      <c r="V131" s="276"/>
      <c r="W131" s="276"/>
      <c r="AB131" s="385"/>
      <c r="AT131" s="332">
        <f t="shared" ca="1" si="10"/>
        <v>505.5</v>
      </c>
      <c r="AU131" s="385">
        <f t="shared" ca="1" si="8"/>
        <v>43607</v>
      </c>
      <c r="AV131" s="269">
        <v>475.08978181274608</v>
      </c>
      <c r="AW131" s="385">
        <f t="shared" ca="1" si="9"/>
        <v>43607</v>
      </c>
      <c r="AX131" s="269">
        <v>730.93166664689784</v>
      </c>
      <c r="AY131" s="269">
        <f t="shared" ca="1" si="11"/>
        <v>0</v>
      </c>
      <c r="AZ131" s="269">
        <f t="shared" ca="1" si="12"/>
        <v>0</v>
      </c>
      <c r="BA131" s="269">
        <f t="shared" ca="1" si="13"/>
        <v>0</v>
      </c>
      <c r="BB131" s="269">
        <f t="shared" ca="1" si="14"/>
        <v>0</v>
      </c>
    </row>
    <row r="132" spans="19:54">
      <c r="S132" s="276"/>
      <c r="T132" s="383"/>
      <c r="U132" s="276"/>
      <c r="V132" s="276"/>
      <c r="W132" s="276"/>
      <c r="AB132" s="385"/>
      <c r="AT132" s="332">
        <f t="shared" ca="1" si="10"/>
        <v>505.5</v>
      </c>
      <c r="AU132" s="385">
        <f t="shared" ca="1" si="8"/>
        <v>43608</v>
      </c>
      <c r="AV132" s="269">
        <v>471.03929089607675</v>
      </c>
      <c r="AW132" s="385">
        <f t="shared" ca="1" si="9"/>
        <v>43608</v>
      </c>
      <c r="AX132" s="269">
        <v>729.19887754451486</v>
      </c>
      <c r="AY132" s="269">
        <f t="shared" ca="1" si="11"/>
        <v>0</v>
      </c>
      <c r="AZ132" s="269">
        <f t="shared" ca="1" si="12"/>
        <v>0</v>
      </c>
      <c r="BA132" s="269">
        <f t="shared" ca="1" si="13"/>
        <v>0</v>
      </c>
      <c r="BB132" s="269">
        <f t="shared" ca="1" si="14"/>
        <v>0</v>
      </c>
    </row>
    <row r="133" spans="19:54">
      <c r="S133" s="276"/>
      <c r="T133" s="383"/>
      <c r="U133" s="276"/>
      <c r="V133" s="276"/>
      <c r="W133" s="276"/>
      <c r="AB133" s="385"/>
      <c r="AT133" s="332">
        <f t="shared" ca="1" si="10"/>
        <v>505.5</v>
      </c>
      <c r="AU133" s="385">
        <f t="shared" ca="1" si="8"/>
        <v>43609</v>
      </c>
      <c r="AV133" s="269">
        <v>466.93834544485435</v>
      </c>
      <c r="AW133" s="385">
        <f t="shared" ca="1" si="9"/>
        <v>43609</v>
      </c>
      <c r="AX133" s="269">
        <v>727.36455782270059</v>
      </c>
      <c r="AY133" s="269">
        <f t="shared" ca="1" si="11"/>
        <v>0</v>
      </c>
      <c r="AZ133" s="269">
        <f t="shared" ca="1" si="12"/>
        <v>0</v>
      </c>
      <c r="BA133" s="269">
        <f t="shared" ca="1" si="13"/>
        <v>0</v>
      </c>
      <c r="BB133" s="269">
        <f t="shared" ca="1" si="14"/>
        <v>0</v>
      </c>
    </row>
    <row r="134" spans="19:54">
      <c r="S134" s="276"/>
      <c r="T134" s="383"/>
      <c r="U134" s="276"/>
      <c r="V134" s="276"/>
      <c r="W134" s="276"/>
      <c r="AB134" s="385"/>
      <c r="AT134" s="332">
        <f t="shared" ca="1" si="10"/>
        <v>505.5</v>
      </c>
      <c r="AU134" s="385">
        <f t="shared" ca="1" si="8"/>
        <v>43610</v>
      </c>
      <c r="AV134" s="269">
        <v>462.78694544047107</v>
      </c>
      <c r="AW134" s="385">
        <f t="shared" ca="1" si="9"/>
        <v>43610</v>
      </c>
      <c r="AX134" s="269">
        <v>725.42870748145504</v>
      </c>
      <c r="AY134" s="269">
        <f t="shared" ca="1" si="11"/>
        <v>0</v>
      </c>
      <c r="AZ134" s="269">
        <f t="shared" ca="1" si="12"/>
        <v>0</v>
      </c>
      <c r="BA134" s="269">
        <f t="shared" ca="1" si="13"/>
        <v>0</v>
      </c>
      <c r="BB134" s="269">
        <f t="shared" ca="1" si="14"/>
        <v>0</v>
      </c>
    </row>
    <row r="135" spans="19:54">
      <c r="S135" s="276"/>
      <c r="T135" s="383"/>
      <c r="U135" s="276"/>
      <c r="V135" s="276"/>
      <c r="W135" s="276"/>
      <c r="AB135" s="385"/>
      <c r="AT135" s="332">
        <f t="shared" ca="1" si="10"/>
        <v>505.5</v>
      </c>
      <c r="AU135" s="385">
        <f t="shared" ca="1" si="8"/>
        <v>43611</v>
      </c>
      <c r="AV135" s="269">
        <v>458.58509089533237</v>
      </c>
      <c r="AW135" s="385">
        <f t="shared" ca="1" si="9"/>
        <v>43611</v>
      </c>
      <c r="AX135" s="269">
        <v>723.39132652077819</v>
      </c>
      <c r="AY135" s="269">
        <f t="shared" ca="1" si="11"/>
        <v>0</v>
      </c>
      <c r="AZ135" s="269">
        <f t="shared" ca="1" si="12"/>
        <v>0</v>
      </c>
      <c r="BA135" s="269">
        <f t="shared" ca="1" si="13"/>
        <v>0</v>
      </c>
      <c r="BB135" s="269">
        <f t="shared" ca="1" si="14"/>
        <v>0</v>
      </c>
    </row>
    <row r="136" spans="19:54">
      <c r="S136" s="276"/>
      <c r="T136" s="383"/>
      <c r="U136" s="276"/>
      <c r="V136" s="276"/>
      <c r="W136" s="276"/>
      <c r="AB136" s="385"/>
      <c r="AT136" s="332">
        <f t="shared" ca="1" si="10"/>
        <v>505.5</v>
      </c>
      <c r="AU136" s="385">
        <f t="shared" ca="1" si="8"/>
        <v>43612</v>
      </c>
      <c r="AV136" s="269">
        <v>454.33278180323543</v>
      </c>
      <c r="AW136" s="385">
        <f t="shared" ca="1" si="9"/>
        <v>43612</v>
      </c>
      <c r="AX136" s="269">
        <v>721.25241495920341</v>
      </c>
      <c r="AY136" s="269">
        <f t="shared" ca="1" si="11"/>
        <v>0</v>
      </c>
      <c r="AZ136" s="269">
        <f t="shared" ca="1" si="12"/>
        <v>0</v>
      </c>
      <c r="BA136" s="269">
        <f t="shared" ca="1" si="13"/>
        <v>0</v>
      </c>
      <c r="BB136" s="269">
        <f t="shared" ca="1" si="14"/>
        <v>0</v>
      </c>
    </row>
    <row r="137" spans="19:54">
      <c r="S137" s="276"/>
      <c r="T137" s="383"/>
      <c r="U137" s="276"/>
      <c r="V137" s="276"/>
      <c r="W137" s="276"/>
      <c r="AB137" s="385"/>
      <c r="AT137" s="332">
        <f t="shared" ca="1" si="10"/>
        <v>505.5</v>
      </c>
      <c r="AU137" s="385">
        <f t="shared" ca="1" si="8"/>
        <v>43613</v>
      </c>
      <c r="AV137" s="269">
        <v>450.03001817038285</v>
      </c>
      <c r="AW137" s="385">
        <f t="shared" ca="1" si="9"/>
        <v>43613</v>
      </c>
      <c r="AX137" s="269">
        <v>719.01197279673067</v>
      </c>
      <c r="AY137" s="269">
        <f t="shared" ca="1" si="11"/>
        <v>0</v>
      </c>
      <c r="AZ137" s="269">
        <f t="shared" ca="1" si="12"/>
        <v>0</v>
      </c>
      <c r="BA137" s="269">
        <f t="shared" ca="1" si="13"/>
        <v>0</v>
      </c>
      <c r="BB137" s="269">
        <f t="shared" ca="1" si="14"/>
        <v>0</v>
      </c>
    </row>
    <row r="138" spans="19:54">
      <c r="S138" s="276"/>
      <c r="T138" s="383"/>
      <c r="U138" s="276"/>
      <c r="V138" s="276"/>
      <c r="W138" s="276"/>
      <c r="AB138" s="385"/>
      <c r="AT138" s="332">
        <f t="shared" ca="1" si="10"/>
        <v>505.5</v>
      </c>
      <c r="AU138" s="385">
        <f t="shared" ca="1" si="8"/>
        <v>43614</v>
      </c>
      <c r="AV138" s="269">
        <v>445.67679999057214</v>
      </c>
      <c r="AW138" s="385">
        <f t="shared" ca="1" si="9"/>
        <v>43614</v>
      </c>
      <c r="AX138" s="269">
        <v>716.66999997775997</v>
      </c>
      <c r="AY138" s="269">
        <f t="shared" ca="1" si="11"/>
        <v>0</v>
      </c>
      <c r="AZ138" s="269">
        <f t="shared" ca="1" si="12"/>
        <v>0</v>
      </c>
      <c r="BA138" s="269">
        <f t="shared" ca="1" si="13"/>
        <v>0</v>
      </c>
      <c r="BB138" s="269">
        <f t="shared" ca="1" si="14"/>
        <v>0</v>
      </c>
    </row>
    <row r="139" spans="19:54">
      <c r="S139" s="276"/>
      <c r="T139" s="383"/>
      <c r="U139" s="276"/>
      <c r="V139" s="276"/>
      <c r="W139" s="276"/>
      <c r="AB139" s="385"/>
      <c r="AT139" s="332">
        <f t="shared" ca="1" si="10"/>
        <v>505.5</v>
      </c>
      <c r="AU139" s="385">
        <f t="shared" ca="1" si="8"/>
        <v>43615</v>
      </c>
      <c r="AV139" s="269">
        <v>441.27312725760038</v>
      </c>
      <c r="AW139" s="385">
        <f t="shared" ca="1" si="9"/>
        <v>43615</v>
      </c>
      <c r="AX139" s="269">
        <v>714.22649657642467</v>
      </c>
      <c r="AY139" s="269">
        <f t="shared" ca="1" si="11"/>
        <v>0</v>
      </c>
      <c r="AZ139" s="269">
        <f t="shared" ca="1" si="12"/>
        <v>0</v>
      </c>
      <c r="BA139" s="269">
        <f t="shared" ca="1" si="13"/>
        <v>0</v>
      </c>
      <c r="BB139" s="269">
        <f t="shared" ca="1" si="14"/>
        <v>0</v>
      </c>
    </row>
    <row r="140" spans="19:54">
      <c r="S140" s="276"/>
      <c r="T140" s="383"/>
      <c r="U140" s="276"/>
      <c r="V140" s="276"/>
      <c r="W140" s="276"/>
      <c r="AB140" s="385"/>
      <c r="AT140" s="332">
        <f t="shared" ca="1" si="10"/>
        <v>505.5</v>
      </c>
      <c r="AU140" s="385">
        <f t="shared" ca="1" si="8"/>
        <v>43616</v>
      </c>
      <c r="AV140" s="269">
        <v>436.81899999007584</v>
      </c>
      <c r="AW140" s="385">
        <f t="shared" ca="1" si="9"/>
        <v>43616</v>
      </c>
      <c r="AX140" s="269">
        <v>711.68146255565807</v>
      </c>
      <c r="AY140" s="269">
        <f t="shared" ca="1" si="11"/>
        <v>1000</v>
      </c>
      <c r="AZ140" s="269">
        <f t="shared" ca="1" si="12"/>
        <v>0</v>
      </c>
      <c r="BA140" s="269">
        <f t="shared" ca="1" si="13"/>
        <v>0</v>
      </c>
      <c r="BB140" s="269">
        <f t="shared" ca="1" si="14"/>
        <v>0</v>
      </c>
    </row>
    <row r="141" spans="19:54">
      <c r="S141" s="276"/>
      <c r="T141" s="383"/>
      <c r="U141" s="276"/>
      <c r="V141" s="276"/>
      <c r="W141" s="276"/>
      <c r="AB141" s="385"/>
      <c r="AT141" s="332">
        <f t="shared" ca="1" si="10"/>
        <v>505.5</v>
      </c>
      <c r="AU141" s="385">
        <f t="shared" ca="1" si="8"/>
        <v>43617</v>
      </c>
      <c r="AV141" s="269">
        <v>432.31441816939042</v>
      </c>
      <c r="AW141" s="385">
        <f t="shared" ca="1" si="9"/>
        <v>43617</v>
      </c>
      <c r="AX141" s="269">
        <v>709.03489793399353</v>
      </c>
      <c r="AY141" s="269">
        <f t="shared" ca="1" si="11"/>
        <v>1000</v>
      </c>
      <c r="AZ141" s="269">
        <f t="shared" ca="1" si="12"/>
        <v>0</v>
      </c>
      <c r="BA141" s="269">
        <f t="shared" ca="1" si="13"/>
        <v>0</v>
      </c>
      <c r="BB141" s="269">
        <f t="shared" ca="1" si="14"/>
        <v>0</v>
      </c>
    </row>
    <row r="142" spans="19:54">
      <c r="S142" s="276"/>
      <c r="T142" s="383"/>
      <c r="U142" s="276"/>
      <c r="V142" s="276"/>
      <c r="W142" s="276"/>
      <c r="AB142" s="385"/>
      <c r="AT142" s="332">
        <f t="shared" ca="1" si="10"/>
        <v>505.5</v>
      </c>
      <c r="AU142" s="385">
        <f t="shared" ca="1" si="8"/>
        <v>43618</v>
      </c>
      <c r="AV142" s="269">
        <v>427.75938180794935</v>
      </c>
      <c r="AW142" s="385">
        <f t="shared" ca="1" si="9"/>
        <v>43618</v>
      </c>
      <c r="AX142" s="269">
        <v>706.28680271143094</v>
      </c>
      <c r="AY142" s="269">
        <f t="shared" ca="1" si="11"/>
        <v>1000</v>
      </c>
      <c r="AZ142" s="269">
        <f t="shared" ca="1" si="12"/>
        <v>0</v>
      </c>
      <c r="BA142" s="269">
        <f t="shared" ca="1" si="13"/>
        <v>0</v>
      </c>
      <c r="BB142" s="269">
        <f t="shared" ca="1" si="14"/>
        <v>0</v>
      </c>
    </row>
    <row r="143" spans="19:54">
      <c r="S143" s="276"/>
      <c r="T143" s="383"/>
      <c r="U143" s="276"/>
      <c r="V143" s="276"/>
      <c r="W143" s="276"/>
      <c r="AB143" s="385"/>
      <c r="AT143" s="332">
        <f t="shared" ca="1" si="10"/>
        <v>505.5</v>
      </c>
      <c r="AU143" s="385">
        <f t="shared" ca="1" si="8"/>
        <v>43619</v>
      </c>
      <c r="AV143" s="269">
        <v>426.4469818194583</v>
      </c>
      <c r="AW143" s="385">
        <f t="shared" ca="1" si="9"/>
        <v>43619</v>
      </c>
      <c r="AX143" s="269">
        <v>703.43717685090382</v>
      </c>
      <c r="AY143" s="269">
        <f t="shared" ca="1" si="11"/>
        <v>1000</v>
      </c>
      <c r="AZ143" s="269">
        <f t="shared" ca="1" si="12"/>
        <v>0</v>
      </c>
      <c r="BA143" s="269">
        <f t="shared" ca="1" si="13"/>
        <v>0</v>
      </c>
      <c r="BB143" s="269">
        <f t="shared" ca="1" si="14"/>
        <v>0</v>
      </c>
    </row>
    <row r="144" spans="19:54">
      <c r="S144" s="276"/>
      <c r="T144" s="383"/>
      <c r="U144" s="276"/>
      <c r="V144" s="276"/>
      <c r="W144" s="276"/>
      <c r="AB144" s="385"/>
      <c r="AT144" s="332">
        <f t="shared" ca="1" si="10"/>
        <v>505.5</v>
      </c>
      <c r="AU144" s="385">
        <f t="shared" ca="1" si="8"/>
        <v>43620</v>
      </c>
      <c r="AV144" s="269">
        <v>426.82449090993032</v>
      </c>
      <c r="AW144" s="385">
        <f t="shared" ca="1" si="9"/>
        <v>43620</v>
      </c>
      <c r="AX144" s="269">
        <v>700.48602038947865</v>
      </c>
      <c r="AY144" s="269">
        <f t="shared" ca="1" si="11"/>
        <v>1000</v>
      </c>
      <c r="AZ144" s="269">
        <f t="shared" ca="1" si="12"/>
        <v>0</v>
      </c>
      <c r="BA144" s="269">
        <f t="shared" ca="1" si="13"/>
        <v>0</v>
      </c>
      <c r="BB144" s="269">
        <f t="shared" ca="1" si="14"/>
        <v>0</v>
      </c>
    </row>
    <row r="145" spans="19:54">
      <c r="S145" s="276"/>
      <c r="T145" s="383"/>
      <c r="U145" s="276"/>
      <c r="V145" s="276"/>
      <c r="W145" s="276"/>
      <c r="AB145" s="385"/>
      <c r="AT145" s="332">
        <f t="shared" ca="1" si="10"/>
        <v>505.5</v>
      </c>
      <c r="AU145" s="385">
        <f t="shared" ca="1" si="8"/>
        <v>43621</v>
      </c>
      <c r="AV145" s="269">
        <v>427.20609091062101</v>
      </c>
      <c r="AW145" s="385">
        <f t="shared" ca="1" si="9"/>
        <v>43621</v>
      </c>
      <c r="AX145" s="269">
        <v>697.43333332715554</v>
      </c>
      <c r="AY145" s="269">
        <f t="shared" ca="1" si="11"/>
        <v>1000</v>
      </c>
      <c r="AZ145" s="269">
        <f t="shared" ca="1" si="12"/>
        <v>0</v>
      </c>
      <c r="BA145" s="269">
        <f t="shared" ca="1" si="13"/>
        <v>0</v>
      </c>
      <c r="BB145" s="269">
        <f t="shared" ca="1" si="14"/>
        <v>0</v>
      </c>
    </row>
    <row r="146" spans="19:54">
      <c r="S146" s="276"/>
      <c r="T146" s="383"/>
      <c r="U146" s="276"/>
      <c r="V146" s="276"/>
      <c r="W146" s="276"/>
      <c r="AB146" s="385"/>
      <c r="AT146" s="332">
        <f t="shared" ca="1" si="10"/>
        <v>505.5</v>
      </c>
      <c r="AU146" s="385">
        <f t="shared" ca="1" si="8"/>
        <v>43622</v>
      </c>
      <c r="AV146" s="269">
        <v>427.59178181901575</v>
      </c>
      <c r="AW146" s="385">
        <f t="shared" ca="1" si="9"/>
        <v>43622</v>
      </c>
      <c r="AX146" s="269">
        <v>694.27911564540113</v>
      </c>
      <c r="AY146" s="269">
        <f t="shared" ca="1" si="11"/>
        <v>1000</v>
      </c>
      <c r="AZ146" s="269">
        <f t="shared" ca="1" si="12"/>
        <v>0</v>
      </c>
      <c r="BA146" s="269">
        <f t="shared" ca="1" si="13"/>
        <v>0</v>
      </c>
      <c r="BB146" s="269">
        <f t="shared" ca="1" si="14"/>
        <v>0</v>
      </c>
    </row>
    <row r="147" spans="19:54">
      <c r="S147" s="276"/>
      <c r="T147" s="383"/>
      <c r="U147" s="276"/>
      <c r="V147" s="276"/>
      <c r="W147" s="276"/>
      <c r="AB147" s="385"/>
      <c r="AT147" s="332">
        <f t="shared" ref="AT147:AT178" ca="1" si="15">IF(AU147&lt;$AO$97,NA(),$J$50)</f>
        <v>505.5</v>
      </c>
      <c r="AU147" s="385">
        <f t="shared" ca="1" si="8"/>
        <v>43623</v>
      </c>
      <c r="AV147" s="269">
        <v>427.98156363662332</v>
      </c>
      <c r="AW147" s="385">
        <f t="shared" ca="1" si="9"/>
        <v>43623</v>
      </c>
      <c r="AX147" s="269">
        <v>691.02336734421556</v>
      </c>
      <c r="AY147" s="269">
        <f t="shared" ca="1" si="11"/>
        <v>1000</v>
      </c>
      <c r="AZ147" s="269">
        <f t="shared" ca="1" si="12"/>
        <v>0</v>
      </c>
      <c r="BA147" s="269">
        <f t="shared" ca="1" si="13"/>
        <v>0</v>
      </c>
      <c r="BB147" s="269">
        <f t="shared" ca="1" si="14"/>
        <v>0</v>
      </c>
    </row>
    <row r="148" spans="19:54">
      <c r="S148" s="276"/>
      <c r="T148" s="383"/>
      <c r="U148" s="276"/>
      <c r="V148" s="276"/>
      <c r="W148" s="276"/>
      <c r="AB148" s="385"/>
      <c r="AT148" s="332">
        <f t="shared" ca="1" si="15"/>
        <v>505.5</v>
      </c>
      <c r="AU148" s="385">
        <f t="shared" ca="1" si="8"/>
        <v>43624</v>
      </c>
      <c r="AV148" s="269">
        <v>428.37543636495246</v>
      </c>
      <c r="AW148" s="385">
        <f t="shared" ca="1" si="9"/>
        <v>43624</v>
      </c>
      <c r="AX148" s="269">
        <v>687.66608844213192</v>
      </c>
      <c r="AY148" s="269">
        <f t="shared" ref="AY148:AY179" ca="1" si="16">IF(AND(AU148&gt;=$AO$95,AU148&lt;=$AO$95+$AO$96),1000,0)</f>
        <v>1000</v>
      </c>
      <c r="AZ148" s="269">
        <f t="shared" ref="AZ148:AZ179" ca="1" si="17">IF(AU148=$AO$97,1000,0)</f>
        <v>0</v>
      </c>
      <c r="BA148" s="269">
        <f t="shared" ref="BA148:BA179" ca="1" si="18">IF(AU148=$AP$97,1000,0)</f>
        <v>0</v>
      </c>
      <c r="BB148" s="269">
        <f t="shared" ref="BB148:BB179" ca="1" si="19">IF(AND(AU148&gt;=$AP$95,AU148&lt;=$AP$95+$AP$96),1000,0)</f>
        <v>0</v>
      </c>
    </row>
    <row r="149" spans="19:54">
      <c r="S149" s="276"/>
      <c r="T149" s="383"/>
      <c r="U149" s="276"/>
      <c r="V149" s="276"/>
      <c r="W149" s="276"/>
      <c r="AB149" s="385"/>
      <c r="AT149" s="332">
        <f t="shared" ca="1" si="15"/>
        <v>505.5</v>
      </c>
      <c r="AU149" s="385">
        <f t="shared" ca="1" si="8"/>
        <v>43625</v>
      </c>
      <c r="AV149" s="269">
        <v>428.77340000048281</v>
      </c>
      <c r="AW149" s="385">
        <f t="shared" ca="1" si="9"/>
        <v>43625</v>
      </c>
      <c r="AX149" s="269">
        <v>684.207278920617</v>
      </c>
      <c r="AY149" s="269">
        <f t="shared" ca="1" si="16"/>
        <v>1000</v>
      </c>
      <c r="AZ149" s="269">
        <f t="shared" ca="1" si="17"/>
        <v>0</v>
      </c>
      <c r="BA149" s="269">
        <f t="shared" ca="1" si="18"/>
        <v>0</v>
      </c>
      <c r="BB149" s="269">
        <f t="shared" ca="1" si="19"/>
        <v>0</v>
      </c>
    </row>
    <row r="150" spans="19:54">
      <c r="S150" s="276"/>
      <c r="T150" s="383"/>
      <c r="U150" s="276"/>
      <c r="V150" s="276"/>
      <c r="W150" s="276"/>
      <c r="AB150" s="385"/>
      <c r="AT150" s="332">
        <f t="shared" ca="1" si="15"/>
        <v>505.5</v>
      </c>
      <c r="AU150" s="385">
        <f t="shared" ca="1" si="8"/>
        <v>43626</v>
      </c>
      <c r="AV150" s="269">
        <v>429.17545454673473</v>
      </c>
      <c r="AW150" s="385">
        <f t="shared" ca="1" si="9"/>
        <v>43626</v>
      </c>
      <c r="AX150" s="269">
        <v>680.64693874260411</v>
      </c>
      <c r="AY150" s="269">
        <f t="shared" ca="1" si="16"/>
        <v>1000</v>
      </c>
      <c r="AZ150" s="269">
        <f t="shared" ca="1" si="17"/>
        <v>0</v>
      </c>
      <c r="BA150" s="269">
        <f t="shared" ca="1" si="18"/>
        <v>0</v>
      </c>
      <c r="BB150" s="269">
        <f t="shared" ca="1" si="19"/>
        <v>0</v>
      </c>
    </row>
    <row r="151" spans="19:54">
      <c r="S151" s="276"/>
      <c r="T151" s="383"/>
      <c r="U151" s="276"/>
      <c r="V151" s="276"/>
      <c r="W151" s="276"/>
      <c r="AB151" s="385"/>
      <c r="AT151" s="332">
        <f t="shared" ca="1" si="15"/>
        <v>505.5</v>
      </c>
      <c r="AU151" s="385">
        <f t="shared" ca="1" si="8"/>
        <v>43627</v>
      </c>
      <c r="AV151" s="269">
        <v>429.58160000069068</v>
      </c>
      <c r="AW151" s="385">
        <f t="shared" ca="1" si="9"/>
        <v>43627</v>
      </c>
      <c r="AX151" s="269">
        <v>676.98506800075995</v>
      </c>
      <c r="AY151" s="269">
        <f t="shared" ca="1" si="16"/>
        <v>1000</v>
      </c>
      <c r="AZ151" s="269">
        <f t="shared" ca="1" si="17"/>
        <v>0</v>
      </c>
      <c r="BA151" s="269">
        <f t="shared" ca="1" si="18"/>
        <v>0</v>
      </c>
      <c r="BB151" s="269">
        <f t="shared" ca="1" si="19"/>
        <v>0</v>
      </c>
    </row>
    <row r="152" spans="19:54">
      <c r="S152" s="276"/>
      <c r="T152" s="383"/>
      <c r="U152" s="276"/>
      <c r="V152" s="276"/>
      <c r="W152" s="276"/>
      <c r="AB152" s="385"/>
      <c r="AT152" s="332">
        <f t="shared" ca="1" si="15"/>
        <v>505.5</v>
      </c>
      <c r="AU152" s="385">
        <f t="shared" ca="1" si="8"/>
        <v>43628</v>
      </c>
      <c r="AV152" s="269">
        <v>429.99183636486532</v>
      </c>
      <c r="AW152" s="385">
        <f t="shared" ca="1" si="9"/>
        <v>43628</v>
      </c>
      <c r="AX152" s="269">
        <v>673.22166663948451</v>
      </c>
      <c r="AY152" s="269">
        <f t="shared" ca="1" si="16"/>
        <v>1000</v>
      </c>
      <c r="AZ152" s="269">
        <f t="shared" ca="1" si="17"/>
        <v>0</v>
      </c>
      <c r="BA152" s="269">
        <f t="shared" ca="1" si="18"/>
        <v>0</v>
      </c>
      <c r="BB152" s="269">
        <f t="shared" ca="1" si="19"/>
        <v>0</v>
      </c>
    </row>
    <row r="153" spans="19:54">
      <c r="S153" s="276"/>
      <c r="T153" s="383"/>
      <c r="U153" s="276"/>
      <c r="V153" s="276"/>
      <c r="W153" s="276"/>
      <c r="AB153" s="385"/>
      <c r="AT153" s="332">
        <f t="shared" ca="1" si="15"/>
        <v>505.5</v>
      </c>
      <c r="AU153" s="385">
        <f t="shared" ca="1" si="8"/>
        <v>43629</v>
      </c>
      <c r="AV153" s="269">
        <v>430.40616363724695</v>
      </c>
      <c r="AW153" s="385">
        <f t="shared" ca="1" si="9"/>
        <v>43629</v>
      </c>
      <c r="AX153" s="269">
        <v>669.35673467731101</v>
      </c>
      <c r="AY153" s="269">
        <f t="shared" ca="1" si="16"/>
        <v>1000</v>
      </c>
      <c r="AZ153" s="269">
        <f t="shared" ca="1" si="17"/>
        <v>0</v>
      </c>
      <c r="BA153" s="269">
        <f t="shared" ca="1" si="18"/>
        <v>0</v>
      </c>
      <c r="BB153" s="269">
        <f t="shared" ca="1" si="19"/>
        <v>0</v>
      </c>
    </row>
    <row r="154" spans="19:54">
      <c r="S154" s="276"/>
      <c r="T154" s="383"/>
      <c r="U154" s="276"/>
      <c r="V154" s="276"/>
      <c r="W154" s="276"/>
      <c r="AB154" s="385"/>
      <c r="AT154" s="332">
        <f t="shared" ca="1" si="15"/>
        <v>505.5</v>
      </c>
      <c r="AU154" s="385">
        <f t="shared" ca="1" si="8"/>
        <v>43630</v>
      </c>
      <c r="AV154" s="269">
        <v>430.8245818193443</v>
      </c>
      <c r="AW154" s="385">
        <f t="shared" ca="1" si="9"/>
        <v>43630</v>
      </c>
      <c r="AX154" s="269">
        <v>665.39027209570634</v>
      </c>
      <c r="AY154" s="269">
        <f t="shared" ca="1" si="16"/>
        <v>1000</v>
      </c>
      <c r="AZ154" s="269">
        <f t="shared" ca="1" si="17"/>
        <v>0</v>
      </c>
      <c r="BA154" s="269">
        <f t="shared" ca="1" si="18"/>
        <v>0</v>
      </c>
      <c r="BB154" s="269">
        <f t="shared" ca="1" si="19"/>
        <v>0</v>
      </c>
    </row>
    <row r="155" spans="19:54">
      <c r="S155" s="276"/>
      <c r="T155" s="383"/>
      <c r="U155" s="276"/>
      <c r="V155" s="276"/>
      <c r="W155" s="276"/>
      <c r="AB155" s="385"/>
      <c r="AT155" s="332">
        <f t="shared" ca="1" si="15"/>
        <v>505.5</v>
      </c>
      <c r="AU155" s="385">
        <f t="shared" ca="1" si="8"/>
        <v>43631</v>
      </c>
      <c r="AV155" s="269">
        <v>431.2470909101516</v>
      </c>
      <c r="AW155" s="385">
        <f t="shared" ca="1" si="9"/>
        <v>43631</v>
      </c>
      <c r="AX155" s="269">
        <v>661.32227889467026</v>
      </c>
      <c r="AY155" s="269">
        <f t="shared" ca="1" si="16"/>
        <v>1000</v>
      </c>
      <c r="AZ155" s="269">
        <f t="shared" ca="1" si="17"/>
        <v>0</v>
      </c>
      <c r="BA155" s="269">
        <f t="shared" ca="1" si="18"/>
        <v>0</v>
      </c>
      <c r="BB155" s="269">
        <f t="shared" ca="1" si="19"/>
        <v>0</v>
      </c>
    </row>
    <row r="156" spans="19:54">
      <c r="S156" s="276"/>
      <c r="T156" s="383"/>
      <c r="U156" s="276"/>
      <c r="V156" s="276"/>
      <c r="W156" s="276"/>
      <c r="AB156" s="385"/>
      <c r="AT156" s="332">
        <f t="shared" ca="1" si="15"/>
        <v>505.5</v>
      </c>
      <c r="AU156" s="385">
        <f t="shared" ca="1" si="8"/>
        <v>43632</v>
      </c>
      <c r="AV156" s="269">
        <v>431.67369091067462</v>
      </c>
      <c r="AW156" s="385">
        <f t="shared" ca="1" si="9"/>
        <v>43632</v>
      </c>
      <c r="AX156" s="269">
        <v>657.15275509273636</v>
      </c>
      <c r="AY156" s="269">
        <f t="shared" ca="1" si="16"/>
        <v>1000</v>
      </c>
      <c r="AZ156" s="269">
        <f t="shared" ca="1" si="17"/>
        <v>0</v>
      </c>
      <c r="BA156" s="269">
        <f t="shared" ca="1" si="18"/>
        <v>0</v>
      </c>
      <c r="BB156" s="269">
        <f t="shared" ca="1" si="19"/>
        <v>0</v>
      </c>
    </row>
    <row r="157" spans="19:54">
      <c r="S157" s="276"/>
      <c r="T157" s="383"/>
      <c r="U157" s="276"/>
      <c r="V157" s="276"/>
      <c r="W157" s="276"/>
      <c r="AB157" s="385"/>
      <c r="AT157" s="332">
        <f t="shared" ca="1" si="15"/>
        <v>505.5</v>
      </c>
      <c r="AU157" s="385">
        <f t="shared" ca="1" si="8"/>
        <v>43633</v>
      </c>
      <c r="AV157" s="269">
        <v>432.10438181940469</v>
      </c>
      <c r="AW157" s="385">
        <f t="shared" ca="1" si="9"/>
        <v>43633</v>
      </c>
      <c r="AX157" s="269">
        <v>652.88170067137105</v>
      </c>
      <c r="AY157" s="269">
        <f t="shared" ca="1" si="16"/>
        <v>1000</v>
      </c>
      <c r="AZ157" s="269">
        <f t="shared" ca="1" si="17"/>
        <v>0</v>
      </c>
      <c r="BA157" s="269">
        <f t="shared" ca="1" si="18"/>
        <v>0</v>
      </c>
      <c r="BB157" s="269">
        <f t="shared" ca="1" si="19"/>
        <v>0</v>
      </c>
    </row>
    <row r="158" spans="19:54">
      <c r="S158" s="276"/>
      <c r="T158" s="383"/>
      <c r="U158" s="276"/>
      <c r="V158" s="276"/>
      <c r="W158" s="276"/>
      <c r="AB158" s="385"/>
      <c r="AT158" s="332">
        <f t="shared" ca="1" si="15"/>
        <v>505.5</v>
      </c>
      <c r="AU158" s="385">
        <f t="shared" ca="1" si="8"/>
        <v>43634</v>
      </c>
      <c r="AV158" s="269">
        <v>432.53916363684459</v>
      </c>
      <c r="AW158" s="385">
        <f t="shared" ca="1" si="9"/>
        <v>43634</v>
      </c>
      <c r="AX158" s="269">
        <v>648.5091156491078</v>
      </c>
      <c r="AY158" s="269">
        <f t="shared" ca="1" si="16"/>
        <v>1000</v>
      </c>
      <c r="AZ158" s="269">
        <f t="shared" ca="1" si="17"/>
        <v>0</v>
      </c>
      <c r="BA158" s="269">
        <f t="shared" ca="1" si="18"/>
        <v>0</v>
      </c>
      <c r="BB158" s="269">
        <f t="shared" ca="1" si="19"/>
        <v>0</v>
      </c>
    </row>
    <row r="159" spans="19:54">
      <c r="S159" s="276"/>
      <c r="T159" s="383"/>
      <c r="U159" s="276"/>
      <c r="V159" s="276"/>
      <c r="W159" s="276"/>
      <c r="AB159" s="385"/>
      <c r="AT159" s="332">
        <f t="shared" ca="1" si="15"/>
        <v>505.5</v>
      </c>
      <c r="AU159" s="385">
        <f t="shared" ca="1" si="8"/>
        <v>43635</v>
      </c>
      <c r="AV159" s="269">
        <v>432.97803636500612</v>
      </c>
      <c r="AW159" s="385">
        <f t="shared" ca="1" si="9"/>
        <v>43635</v>
      </c>
      <c r="AX159" s="269">
        <v>644.03500000741337</v>
      </c>
      <c r="AY159" s="269">
        <f t="shared" ca="1" si="16"/>
        <v>1000</v>
      </c>
      <c r="AZ159" s="269">
        <f t="shared" ca="1" si="17"/>
        <v>0</v>
      </c>
      <c r="BA159" s="269">
        <f t="shared" ca="1" si="18"/>
        <v>0</v>
      </c>
      <c r="BB159" s="269">
        <f t="shared" ca="1" si="19"/>
        <v>0</v>
      </c>
    </row>
    <row r="160" spans="19:54">
      <c r="S160" s="276"/>
      <c r="T160" s="383"/>
      <c r="U160" s="276"/>
      <c r="V160" s="276"/>
      <c r="W160" s="276"/>
      <c r="AB160" s="385"/>
      <c r="AT160" s="332">
        <f t="shared" ca="1" si="15"/>
        <v>505.5</v>
      </c>
      <c r="AU160" s="385">
        <f t="shared" ca="1" si="8"/>
        <v>43636</v>
      </c>
      <c r="AV160" s="269">
        <v>433.42100000087169</v>
      </c>
      <c r="AW160" s="385">
        <f t="shared" ca="1" si="9"/>
        <v>43636</v>
      </c>
      <c r="AX160" s="269">
        <v>639.45935374628755</v>
      </c>
      <c r="AY160" s="269">
        <f t="shared" ca="1" si="16"/>
        <v>1000</v>
      </c>
      <c r="AZ160" s="269">
        <f t="shared" ca="1" si="17"/>
        <v>0</v>
      </c>
      <c r="BA160" s="269">
        <f t="shared" ca="1" si="18"/>
        <v>0</v>
      </c>
      <c r="BB160" s="269">
        <f t="shared" ca="1" si="19"/>
        <v>1000</v>
      </c>
    </row>
    <row r="161" spans="19:54">
      <c r="S161" s="276"/>
      <c r="T161" s="383"/>
      <c r="U161" s="276"/>
      <c r="V161" s="276"/>
      <c r="W161" s="276"/>
      <c r="AB161" s="385"/>
      <c r="AT161" s="332">
        <f t="shared" ca="1" si="15"/>
        <v>505.5</v>
      </c>
      <c r="AU161" s="385">
        <f t="shared" ca="1" si="8"/>
        <v>43637</v>
      </c>
      <c r="AV161" s="269">
        <v>433.8680545464531</v>
      </c>
      <c r="AW161" s="385">
        <f t="shared" ca="1" si="9"/>
        <v>43637</v>
      </c>
      <c r="AX161" s="269">
        <v>634.78217688426378</v>
      </c>
      <c r="AY161" s="269">
        <f t="shared" ca="1" si="16"/>
        <v>0</v>
      </c>
      <c r="AZ161" s="269">
        <f t="shared" ca="1" si="17"/>
        <v>0</v>
      </c>
      <c r="BA161" s="269">
        <f t="shared" ca="1" si="18"/>
        <v>0</v>
      </c>
      <c r="BB161" s="269">
        <f t="shared" ca="1" si="19"/>
        <v>1000</v>
      </c>
    </row>
    <row r="162" spans="19:54">
      <c r="S162" s="276"/>
      <c r="T162" s="383"/>
      <c r="U162" s="276"/>
      <c r="V162" s="276"/>
      <c r="W162" s="276"/>
      <c r="AB162" s="385"/>
      <c r="AT162" s="332">
        <f t="shared" ca="1" si="15"/>
        <v>505.5</v>
      </c>
      <c r="AU162" s="385">
        <f t="shared" ca="1" si="8"/>
        <v>43638</v>
      </c>
      <c r="AV162" s="269">
        <v>434.31920000074433</v>
      </c>
      <c r="AW162" s="385">
        <f t="shared" ca="1" si="9"/>
        <v>43638</v>
      </c>
      <c r="AX162" s="269">
        <v>630.00346936574203</v>
      </c>
      <c r="AY162" s="269">
        <f t="shared" ca="1" si="16"/>
        <v>0</v>
      </c>
      <c r="AZ162" s="269">
        <f t="shared" ca="1" si="17"/>
        <v>0</v>
      </c>
      <c r="BA162" s="269">
        <f t="shared" ca="1" si="18"/>
        <v>0</v>
      </c>
      <c r="BB162" s="269">
        <f t="shared" ca="1" si="19"/>
        <v>1000</v>
      </c>
    </row>
    <row r="163" spans="19:54">
      <c r="S163" s="276"/>
      <c r="T163" s="383"/>
      <c r="U163" s="276"/>
      <c r="V163" s="276"/>
      <c r="W163" s="276"/>
      <c r="AB163" s="385"/>
      <c r="AT163" s="332">
        <f t="shared" ca="1" si="15"/>
        <v>505.5</v>
      </c>
      <c r="AU163" s="385">
        <f t="shared" ca="1" si="8"/>
        <v>43639</v>
      </c>
      <c r="AV163" s="269">
        <v>434.7744363647513</v>
      </c>
      <c r="AW163" s="385">
        <f t="shared" ca="1" si="9"/>
        <v>43639</v>
      </c>
      <c r="AX163" s="269">
        <v>625.12323126485569</v>
      </c>
      <c r="AY163" s="269">
        <f t="shared" ca="1" si="16"/>
        <v>0</v>
      </c>
      <c r="AZ163" s="269">
        <f t="shared" ca="1" si="17"/>
        <v>0</v>
      </c>
      <c r="BA163" s="269">
        <f t="shared" ca="1" si="18"/>
        <v>0</v>
      </c>
      <c r="BB163" s="269">
        <f t="shared" ca="1" si="19"/>
        <v>1000</v>
      </c>
    </row>
    <row r="164" spans="19:54">
      <c r="S164" s="276"/>
      <c r="T164" s="383"/>
      <c r="U164" s="276"/>
      <c r="V164" s="276"/>
      <c r="W164" s="276"/>
      <c r="AB164" s="385"/>
      <c r="AT164" s="332">
        <f t="shared" ca="1" si="15"/>
        <v>505.5</v>
      </c>
      <c r="AU164" s="385">
        <f t="shared" ca="1" si="8"/>
        <v>43640</v>
      </c>
      <c r="AV164" s="269">
        <v>435.2337636374682</v>
      </c>
      <c r="AW164" s="385">
        <f t="shared" ca="1" si="9"/>
        <v>43640</v>
      </c>
      <c r="AX164" s="269">
        <v>620.1414625630714</v>
      </c>
      <c r="AY164" s="269">
        <f t="shared" ca="1" si="16"/>
        <v>0</v>
      </c>
      <c r="AZ164" s="269">
        <f t="shared" ca="1" si="17"/>
        <v>0</v>
      </c>
      <c r="BA164" s="269">
        <f t="shared" ca="1" si="18"/>
        <v>0</v>
      </c>
      <c r="BB164" s="269">
        <f t="shared" ca="1" si="19"/>
        <v>1000</v>
      </c>
    </row>
    <row r="165" spans="19:54">
      <c r="S165" s="276"/>
      <c r="T165" s="383"/>
      <c r="U165" s="276"/>
      <c r="V165" s="276"/>
      <c r="W165" s="276"/>
      <c r="AB165" s="385"/>
      <c r="AT165" s="332">
        <f t="shared" ca="1" si="15"/>
        <v>505.5</v>
      </c>
      <c r="AU165" s="385">
        <f t="shared" ca="1" si="8"/>
        <v>43641</v>
      </c>
      <c r="AV165" s="269">
        <v>435.697181819398</v>
      </c>
      <c r="AW165" s="385">
        <f t="shared" ca="1" si="9"/>
        <v>43641</v>
      </c>
      <c r="AX165" s="269">
        <v>615.05816324185582</v>
      </c>
      <c r="AY165" s="269">
        <f t="shared" ca="1" si="16"/>
        <v>0</v>
      </c>
      <c r="AZ165" s="269">
        <f t="shared" ca="1" si="17"/>
        <v>0</v>
      </c>
      <c r="BA165" s="269">
        <f t="shared" ca="1" si="18"/>
        <v>0</v>
      </c>
      <c r="BB165" s="269">
        <f t="shared" ca="1" si="19"/>
        <v>1000</v>
      </c>
    </row>
    <row r="166" spans="19:54">
      <c r="S166" s="276"/>
      <c r="T166" s="383"/>
      <c r="U166" s="276"/>
      <c r="V166" s="276"/>
      <c r="W166" s="276"/>
      <c r="AB166" s="385"/>
      <c r="AT166" s="332">
        <f t="shared" ca="1" si="15"/>
        <v>505.5</v>
      </c>
      <c r="AU166" s="385">
        <f t="shared" ca="1" si="8"/>
        <v>43642</v>
      </c>
      <c r="AV166" s="269">
        <v>436.16469091003762</v>
      </c>
      <c r="AW166" s="385">
        <f t="shared" ca="1" si="9"/>
        <v>43642</v>
      </c>
      <c r="AX166" s="269">
        <v>609.87333331974219</v>
      </c>
      <c r="AY166" s="269">
        <f t="shared" ca="1" si="16"/>
        <v>0</v>
      </c>
      <c r="AZ166" s="269">
        <f t="shared" ca="1" si="17"/>
        <v>0</v>
      </c>
      <c r="BA166" s="269">
        <f t="shared" ca="1" si="18"/>
        <v>0</v>
      </c>
      <c r="BB166" s="269">
        <f t="shared" ca="1" si="19"/>
        <v>1000</v>
      </c>
    </row>
    <row r="167" spans="19:54">
      <c r="S167" s="276"/>
      <c r="T167" s="383"/>
      <c r="U167" s="276"/>
      <c r="V167" s="276"/>
      <c r="W167" s="276"/>
      <c r="AB167" s="385"/>
      <c r="AT167" s="332">
        <f t="shared" ca="1" si="15"/>
        <v>505.5</v>
      </c>
      <c r="AU167" s="385">
        <f t="shared" ca="1" si="8"/>
        <v>43643</v>
      </c>
      <c r="AV167" s="269">
        <v>436.63629090938718</v>
      </c>
      <c r="AW167" s="385">
        <f t="shared" ca="1" si="9"/>
        <v>43643</v>
      </c>
      <c r="AX167" s="269">
        <v>604.58697277819738</v>
      </c>
      <c r="AY167" s="269">
        <f t="shared" ca="1" si="16"/>
        <v>0</v>
      </c>
      <c r="AZ167" s="269">
        <f t="shared" ca="1" si="17"/>
        <v>0</v>
      </c>
      <c r="BA167" s="269">
        <f t="shared" ca="1" si="18"/>
        <v>0</v>
      </c>
      <c r="BB167" s="269">
        <f t="shared" ca="1" si="19"/>
        <v>1000</v>
      </c>
    </row>
    <row r="168" spans="19:54">
      <c r="S168" s="276"/>
      <c r="T168" s="383"/>
      <c r="U168" s="276"/>
      <c r="V168" s="276"/>
      <c r="W168" s="276"/>
      <c r="AB168" s="385"/>
      <c r="AT168" s="332">
        <f t="shared" ca="1" si="15"/>
        <v>505.5</v>
      </c>
      <c r="AU168" s="385">
        <f t="shared" ca="1" si="8"/>
        <v>43644</v>
      </c>
      <c r="AV168" s="269">
        <v>437.11198181945832</v>
      </c>
      <c r="AW168" s="385">
        <f t="shared" ca="1" si="9"/>
        <v>43644</v>
      </c>
      <c r="AX168" s="269">
        <v>599.19908161722128</v>
      </c>
      <c r="AY168" s="269">
        <f t="shared" ca="1" si="16"/>
        <v>0</v>
      </c>
      <c r="AZ168" s="269">
        <f t="shared" ca="1" si="17"/>
        <v>0</v>
      </c>
      <c r="BA168" s="269">
        <f t="shared" ca="1" si="18"/>
        <v>0</v>
      </c>
      <c r="BB168" s="269">
        <f t="shared" ca="1" si="19"/>
        <v>1000</v>
      </c>
    </row>
    <row r="169" spans="19:54">
      <c r="S169" s="276"/>
      <c r="T169" s="383"/>
      <c r="U169" s="276"/>
      <c r="V169" s="276"/>
      <c r="W169" s="276"/>
      <c r="AB169" s="385"/>
      <c r="AT169" s="332">
        <f t="shared" ca="1" si="15"/>
        <v>505.5</v>
      </c>
      <c r="AU169" s="385">
        <f t="shared" ca="1" si="8"/>
        <v>43645</v>
      </c>
      <c r="AV169" s="269">
        <v>437.5917636372335</v>
      </c>
      <c r="AW169" s="385">
        <f t="shared" ca="1" si="9"/>
        <v>43645</v>
      </c>
      <c r="AX169" s="269">
        <v>593.70965985534713</v>
      </c>
      <c r="AY169" s="269">
        <f t="shared" ca="1" si="16"/>
        <v>0</v>
      </c>
      <c r="AZ169" s="269">
        <f t="shared" ca="1" si="17"/>
        <v>0</v>
      </c>
      <c r="BA169" s="269">
        <f t="shared" ca="1" si="18"/>
        <v>0</v>
      </c>
      <c r="BB169" s="269">
        <f t="shared" ca="1" si="19"/>
        <v>1000</v>
      </c>
    </row>
    <row r="170" spans="19:54">
      <c r="S170" s="276"/>
      <c r="T170" s="383"/>
      <c r="U170" s="276"/>
      <c r="V170" s="276"/>
      <c r="W170" s="276"/>
      <c r="AB170" s="385"/>
      <c r="AT170" s="332">
        <f t="shared" ca="1" si="15"/>
        <v>505.5</v>
      </c>
      <c r="AU170" s="385">
        <f t="shared" ca="1" si="8"/>
        <v>43646</v>
      </c>
      <c r="AV170" s="269">
        <v>438.07563636472446</v>
      </c>
      <c r="AW170" s="385">
        <f t="shared" ca="1" si="9"/>
        <v>43646</v>
      </c>
      <c r="AX170" s="269">
        <v>588.11870747404168</v>
      </c>
      <c r="AY170" s="269">
        <f t="shared" ca="1" si="16"/>
        <v>0</v>
      </c>
      <c r="AZ170" s="269">
        <f t="shared" ca="1" si="17"/>
        <v>0</v>
      </c>
      <c r="BA170" s="269">
        <f t="shared" ca="1" si="18"/>
        <v>0</v>
      </c>
      <c r="BB170" s="269">
        <f t="shared" ca="1" si="19"/>
        <v>1000</v>
      </c>
    </row>
    <row r="171" spans="19:54">
      <c r="S171" s="276"/>
      <c r="T171" s="383"/>
      <c r="U171" s="276"/>
      <c r="V171" s="276"/>
      <c r="W171" s="276"/>
      <c r="AB171" s="385"/>
      <c r="AT171" s="332">
        <f t="shared" ca="1" si="15"/>
        <v>505.5</v>
      </c>
      <c r="AU171" s="385">
        <f t="shared" ref="AU171:AU205" ca="1" si="20">AU170+1</f>
        <v>43647</v>
      </c>
      <c r="AV171" s="269">
        <v>438.56360000092536</v>
      </c>
      <c r="AW171" s="385">
        <f t="shared" ca="1" si="9"/>
        <v>43647</v>
      </c>
      <c r="AX171" s="269">
        <v>582.42622449183841</v>
      </c>
      <c r="AY171" s="269">
        <f t="shared" ca="1" si="16"/>
        <v>0</v>
      </c>
      <c r="AZ171" s="269">
        <f t="shared" ca="1" si="17"/>
        <v>0</v>
      </c>
      <c r="BA171" s="269">
        <f t="shared" ca="1" si="18"/>
        <v>0</v>
      </c>
      <c r="BB171" s="269">
        <f t="shared" ca="1" si="19"/>
        <v>1000</v>
      </c>
    </row>
    <row r="172" spans="19:54">
      <c r="S172" s="276"/>
      <c r="T172" s="383"/>
      <c r="U172" s="276"/>
      <c r="V172" s="276"/>
      <c r="W172" s="276"/>
      <c r="AB172" s="385"/>
      <c r="AT172" s="332">
        <f t="shared" ca="1" si="15"/>
        <v>505.5</v>
      </c>
      <c r="AU172" s="385">
        <f t="shared" ca="1" si="20"/>
        <v>43648</v>
      </c>
      <c r="AV172" s="269">
        <v>439.05565454684199</v>
      </c>
      <c r="AW172" s="385">
        <f t="shared" ca="1" si="9"/>
        <v>43648</v>
      </c>
      <c r="AX172" s="269">
        <v>576.63221089020374</v>
      </c>
      <c r="AY172" s="269">
        <f t="shared" ca="1" si="16"/>
        <v>0</v>
      </c>
      <c r="AZ172" s="269">
        <f t="shared" ca="1" si="17"/>
        <v>0</v>
      </c>
      <c r="BA172" s="269">
        <f t="shared" ca="1" si="18"/>
        <v>0</v>
      </c>
      <c r="BB172" s="269">
        <f t="shared" ca="1" si="19"/>
        <v>1000</v>
      </c>
    </row>
    <row r="173" spans="19:54">
      <c r="S173" s="276"/>
      <c r="T173" s="383"/>
      <c r="U173" s="276"/>
      <c r="V173" s="276"/>
      <c r="W173" s="276"/>
      <c r="AB173" s="385"/>
      <c r="AT173" s="332">
        <f t="shared" ca="1" si="15"/>
        <v>505.5</v>
      </c>
      <c r="AU173" s="385">
        <f t="shared" ca="1" si="20"/>
        <v>43649</v>
      </c>
      <c r="AV173" s="269">
        <v>439.55180000096561</v>
      </c>
      <c r="AW173" s="385">
        <f t="shared" ca="1" si="9"/>
        <v>43649</v>
      </c>
      <c r="AX173" s="269">
        <v>570.73666663207109</v>
      </c>
      <c r="AY173" s="269">
        <f t="shared" ca="1" si="16"/>
        <v>0</v>
      </c>
      <c r="AZ173" s="269">
        <f t="shared" ca="1" si="17"/>
        <v>0</v>
      </c>
      <c r="BA173" s="269">
        <f t="shared" ca="1" si="18"/>
        <v>0</v>
      </c>
      <c r="BB173" s="269">
        <f t="shared" ca="1" si="19"/>
        <v>1000</v>
      </c>
    </row>
    <row r="174" spans="19:54">
      <c r="S174" s="276"/>
      <c r="T174" s="383"/>
      <c r="U174" s="276"/>
      <c r="V174" s="276"/>
      <c r="W174" s="276"/>
      <c r="AB174" s="385"/>
      <c r="AT174" s="332">
        <f t="shared" ca="1" si="15"/>
        <v>505.5</v>
      </c>
      <c r="AU174" s="385">
        <f t="shared" ca="1" si="20"/>
        <v>43650</v>
      </c>
      <c r="AV174" s="269">
        <v>440.05203636480496</v>
      </c>
      <c r="AW174" s="385">
        <f t="shared" ca="1" si="9"/>
        <v>43650</v>
      </c>
      <c r="AX174" s="269">
        <v>564.73959181010719</v>
      </c>
      <c r="AY174" s="269">
        <f t="shared" ca="1" si="16"/>
        <v>0</v>
      </c>
      <c r="AZ174" s="269">
        <f t="shared" ca="1" si="17"/>
        <v>0</v>
      </c>
      <c r="BA174" s="269">
        <f t="shared" ca="1" si="18"/>
        <v>0</v>
      </c>
      <c r="BB174" s="269">
        <f t="shared" ca="1" si="19"/>
        <v>1000</v>
      </c>
    </row>
    <row r="175" spans="19:54">
      <c r="S175" s="276"/>
      <c r="T175" s="383"/>
      <c r="U175" s="276"/>
      <c r="V175" s="276"/>
      <c r="W175" s="276"/>
      <c r="AB175" s="385"/>
      <c r="AT175" s="332">
        <f t="shared" ca="1" si="15"/>
        <v>505.5</v>
      </c>
      <c r="AU175" s="385">
        <f t="shared" ca="1" si="20"/>
        <v>43651</v>
      </c>
      <c r="AV175" s="269">
        <v>440.55636363735425</v>
      </c>
      <c r="AW175" s="385">
        <f t="shared" ca="1" si="9"/>
        <v>43651</v>
      </c>
      <c r="AX175" s="269">
        <v>558.64098636871199</v>
      </c>
      <c r="AY175" s="269">
        <f t="shared" ca="1" si="16"/>
        <v>0</v>
      </c>
      <c r="AZ175" s="269">
        <f t="shared" ca="1" si="17"/>
        <v>0</v>
      </c>
      <c r="BA175" s="269">
        <f t="shared" ca="1" si="18"/>
        <v>0</v>
      </c>
      <c r="BB175" s="269">
        <f t="shared" ca="1" si="19"/>
        <v>1000</v>
      </c>
    </row>
    <row r="176" spans="19:54">
      <c r="S176" s="276"/>
      <c r="T176" s="383"/>
      <c r="U176" s="276"/>
      <c r="V176" s="276"/>
      <c r="W176" s="276"/>
      <c r="AB176" s="385"/>
      <c r="AT176" s="332">
        <f t="shared" ca="1" si="15"/>
        <v>505.5</v>
      </c>
      <c r="AU176" s="385">
        <f t="shared" ca="1" si="20"/>
        <v>43652</v>
      </c>
      <c r="AV176" s="269">
        <v>441.06478181861343</v>
      </c>
      <c r="AW176" s="385">
        <f t="shared" ca="1" si="9"/>
        <v>43652</v>
      </c>
      <c r="AX176" s="269">
        <v>552.44085032641885</v>
      </c>
      <c r="AY176" s="269">
        <f t="shared" ca="1" si="16"/>
        <v>0</v>
      </c>
      <c r="AZ176" s="269">
        <f t="shared" ca="1" si="17"/>
        <v>0</v>
      </c>
      <c r="BA176" s="269">
        <f t="shared" ca="1" si="18"/>
        <v>0</v>
      </c>
      <c r="BB176" s="269">
        <f t="shared" ca="1" si="19"/>
        <v>1000</v>
      </c>
    </row>
    <row r="177" spans="19:54">
      <c r="S177" s="276"/>
      <c r="T177" s="383"/>
      <c r="U177" s="276"/>
      <c r="V177" s="276"/>
      <c r="W177" s="276"/>
      <c r="AB177" s="385"/>
      <c r="AT177" s="332">
        <f t="shared" ca="1" si="15"/>
        <v>505.5</v>
      </c>
      <c r="AU177" s="385">
        <f t="shared" ca="1" si="20"/>
        <v>43653</v>
      </c>
      <c r="AV177" s="269">
        <v>441.57729091009128</v>
      </c>
      <c r="AW177" s="385">
        <f t="shared" ca="1" si="9"/>
        <v>43653</v>
      </c>
      <c r="AX177" s="269">
        <v>546.13918364616109</v>
      </c>
      <c r="AY177" s="269">
        <f t="shared" ca="1" si="16"/>
        <v>0</v>
      </c>
      <c r="AZ177" s="269">
        <f t="shared" ca="1" si="17"/>
        <v>0</v>
      </c>
      <c r="BA177" s="269">
        <f t="shared" ca="1" si="18"/>
        <v>0</v>
      </c>
      <c r="BB177" s="269">
        <f t="shared" ca="1" si="19"/>
        <v>1000</v>
      </c>
    </row>
    <row r="178" spans="19:54">
      <c r="S178" s="276"/>
      <c r="T178" s="383"/>
      <c r="U178" s="276"/>
      <c r="V178" s="276"/>
      <c r="W178" s="276"/>
      <c r="AB178" s="385"/>
      <c r="AT178" s="332">
        <f t="shared" ca="1" si="15"/>
        <v>505.5</v>
      </c>
      <c r="AU178" s="385">
        <f t="shared" ca="1" si="20"/>
        <v>43654</v>
      </c>
      <c r="AV178" s="269">
        <v>442.09389090977606</v>
      </c>
      <c r="AW178" s="385">
        <f t="shared" ca="1" si="9"/>
        <v>43654</v>
      </c>
      <c r="AX178" s="269">
        <v>539.73598638353872</v>
      </c>
      <c r="AY178" s="269">
        <f t="shared" ca="1" si="16"/>
        <v>0</v>
      </c>
      <c r="AZ178" s="269">
        <f t="shared" ca="1" si="17"/>
        <v>0</v>
      </c>
      <c r="BA178" s="269">
        <f t="shared" ca="1" si="18"/>
        <v>0</v>
      </c>
      <c r="BB178" s="269">
        <f t="shared" ca="1" si="19"/>
        <v>1000</v>
      </c>
    </row>
    <row r="179" spans="19:54">
      <c r="S179" s="276"/>
      <c r="T179" s="383"/>
      <c r="U179" s="276"/>
      <c r="V179" s="276"/>
      <c r="W179" s="276"/>
      <c r="AB179" s="385"/>
      <c r="AT179" s="332">
        <f t="shared" ref="AT179:AT205" ca="1" si="21">IF(AU179&lt;$AO$97,NA(),$J$50)</f>
        <v>505.5</v>
      </c>
      <c r="AU179" s="385">
        <f t="shared" ca="1" si="20"/>
        <v>43655</v>
      </c>
      <c r="AV179" s="269">
        <v>442.61458181917669</v>
      </c>
      <c r="AW179" s="385">
        <f t="shared" ca="1" si="9"/>
        <v>43655</v>
      </c>
      <c r="AX179" s="269">
        <v>533.23125848295172</v>
      </c>
      <c r="AY179" s="269">
        <f t="shared" ca="1" si="16"/>
        <v>0</v>
      </c>
      <c r="AZ179" s="269">
        <f t="shared" ca="1" si="17"/>
        <v>0</v>
      </c>
      <c r="BA179" s="269">
        <f t="shared" ca="1" si="18"/>
        <v>0</v>
      </c>
      <c r="BB179" s="269">
        <f t="shared" ca="1" si="19"/>
        <v>1000</v>
      </c>
    </row>
    <row r="180" spans="19:54">
      <c r="S180" s="276"/>
      <c r="T180" s="383"/>
      <c r="U180" s="276"/>
      <c r="V180" s="276"/>
      <c r="W180" s="276"/>
      <c r="AB180" s="385"/>
      <c r="AT180" s="332">
        <f t="shared" ca="1" si="21"/>
        <v>505.5</v>
      </c>
      <c r="AU180" s="385">
        <f t="shared" ca="1" si="20"/>
        <v>43656</v>
      </c>
      <c r="AV180" s="269">
        <v>443.13936363728715</v>
      </c>
      <c r="AW180" s="385">
        <f t="shared" ca="1" si="9"/>
        <v>43656</v>
      </c>
      <c r="AX180" s="269">
        <v>526.625</v>
      </c>
      <c r="AY180" s="269">
        <f t="shared" ref="AY180:AY205" ca="1" si="22">IF(AND(AU180&gt;=$AO$95,AU180&lt;=$AO$95+$AO$96),1000,0)</f>
        <v>0</v>
      </c>
      <c r="AZ180" s="269">
        <f t="shared" ref="AZ180:AZ205" ca="1" si="23">IF(AU180=$AO$97,1000,0)</f>
        <v>0</v>
      </c>
      <c r="BA180" s="269">
        <f t="shared" ref="BA180:BA205" ca="1" si="24">IF(AU180=$AP$97,1000,0)</f>
        <v>0</v>
      </c>
      <c r="BB180" s="269">
        <f t="shared" ref="BB180:BB205" ca="1" si="25">IF(AND(AU180&gt;=$AP$95,AU180&lt;=$AP$95+$AP$96),1000,0)</f>
        <v>1000</v>
      </c>
    </row>
    <row r="181" spans="19:54">
      <c r="S181" s="276"/>
      <c r="T181" s="373"/>
      <c r="U181" s="276"/>
      <c r="V181" s="276"/>
      <c r="W181" s="276"/>
      <c r="AB181" s="385"/>
      <c r="AT181" s="332">
        <f t="shared" ca="1" si="21"/>
        <v>505.5</v>
      </c>
      <c r="AU181" s="385">
        <f t="shared" ca="1" si="20"/>
        <v>43657</v>
      </c>
      <c r="AV181" s="269">
        <v>443.66823636511344</v>
      </c>
      <c r="AW181" s="385">
        <f t="shared" ca="1" si="9"/>
        <v>43657</v>
      </c>
      <c r="AX181" s="269">
        <v>519.91721087908377</v>
      </c>
      <c r="AY181" s="269">
        <f t="shared" ca="1" si="22"/>
        <v>0</v>
      </c>
      <c r="AZ181" s="269">
        <f t="shared" ca="1" si="23"/>
        <v>0</v>
      </c>
      <c r="BA181" s="269">
        <f t="shared" ca="1" si="24"/>
        <v>0</v>
      </c>
      <c r="BB181" s="269">
        <f t="shared" ca="1" si="25"/>
        <v>1000</v>
      </c>
    </row>
    <row r="182" spans="19:54">
      <c r="S182" s="276"/>
      <c r="T182" s="30"/>
      <c r="U182" s="276"/>
      <c r="V182" s="276"/>
      <c r="W182" s="276"/>
      <c r="AB182" s="385"/>
      <c r="AT182" s="332">
        <f t="shared" ca="1" si="21"/>
        <v>505.5</v>
      </c>
      <c r="AU182" s="385">
        <f t="shared" ca="1" si="20"/>
        <v>43658</v>
      </c>
      <c r="AV182" s="269">
        <v>444.20120000064372</v>
      </c>
      <c r="AW182" s="385">
        <f t="shared" ca="1" si="9"/>
        <v>43658</v>
      </c>
      <c r="AX182" s="269">
        <v>513.10789115726948</v>
      </c>
      <c r="AY182" s="269">
        <f t="shared" ca="1" si="22"/>
        <v>0</v>
      </c>
      <c r="AZ182" s="269">
        <f t="shared" ca="1" si="23"/>
        <v>0</v>
      </c>
      <c r="BA182" s="269">
        <f t="shared" ca="1" si="24"/>
        <v>0</v>
      </c>
      <c r="BB182" s="269">
        <f t="shared" ca="1" si="25"/>
        <v>1000</v>
      </c>
    </row>
    <row r="183" spans="19:54">
      <c r="S183" s="276"/>
      <c r="T183" s="276"/>
      <c r="U183" s="276"/>
      <c r="V183" s="276"/>
      <c r="W183" s="276"/>
      <c r="AB183" s="385"/>
      <c r="AT183" s="332">
        <f t="shared" ca="1" si="21"/>
        <v>505.5</v>
      </c>
      <c r="AU183" s="385">
        <f t="shared" ca="1" si="20"/>
        <v>43659</v>
      </c>
      <c r="AV183" s="269">
        <v>444.73825454689563</v>
      </c>
      <c r="AW183" s="385">
        <f t="shared" ca="1" si="9"/>
        <v>43659</v>
      </c>
      <c r="AX183" s="269">
        <v>506.19704081602396</v>
      </c>
      <c r="AY183" s="269">
        <f t="shared" ca="1" si="22"/>
        <v>0</v>
      </c>
      <c r="AZ183" s="269">
        <f t="shared" ca="1" si="23"/>
        <v>0</v>
      </c>
      <c r="BA183" s="269">
        <f t="shared" ca="1" si="24"/>
        <v>0</v>
      </c>
      <c r="BB183" s="269">
        <f t="shared" ca="1" si="25"/>
        <v>1000</v>
      </c>
    </row>
    <row r="184" spans="19:54">
      <c r="S184" s="276"/>
      <c r="T184" s="276"/>
      <c r="U184" s="276"/>
      <c r="V184" s="276"/>
      <c r="W184" s="276"/>
      <c r="AB184" s="385"/>
      <c r="AT184" s="332">
        <f t="shared" ca="1" si="21"/>
        <v>505.5</v>
      </c>
      <c r="AU184" s="385">
        <f t="shared" ca="1" si="20"/>
        <v>43660</v>
      </c>
      <c r="AV184" s="269">
        <v>445.27940000085164</v>
      </c>
      <c r="AW184" s="385">
        <f t="shared" ca="1" si="9"/>
        <v>43660</v>
      </c>
      <c r="AX184" s="269">
        <v>499.18465987388043</v>
      </c>
      <c r="AY184" s="269">
        <f t="shared" ca="1" si="22"/>
        <v>0</v>
      </c>
      <c r="AZ184" s="269">
        <f t="shared" ca="1" si="23"/>
        <v>0</v>
      </c>
      <c r="BA184" s="269">
        <f t="shared" ca="1" si="24"/>
        <v>0</v>
      </c>
      <c r="BB184" s="269">
        <f t="shared" ca="1" si="25"/>
        <v>1000</v>
      </c>
    </row>
    <row r="185" spans="19:54">
      <c r="S185" s="276"/>
      <c r="T185" s="276"/>
      <c r="U185" s="276"/>
      <c r="V185" s="276"/>
      <c r="W185" s="276"/>
      <c r="AB185" s="385"/>
      <c r="AT185" s="332">
        <f t="shared" ca="1" si="21"/>
        <v>505.5</v>
      </c>
      <c r="AU185" s="385">
        <f t="shared" ca="1" si="20"/>
        <v>43661</v>
      </c>
      <c r="AV185" s="269">
        <v>445.82463636502621</v>
      </c>
      <c r="AW185" s="385">
        <f t="shared" ca="1" si="9"/>
        <v>43661</v>
      </c>
      <c r="AX185" s="269">
        <v>492.070748275239</v>
      </c>
      <c r="AY185" s="269">
        <f t="shared" ca="1" si="22"/>
        <v>0</v>
      </c>
      <c r="AZ185" s="269">
        <f t="shared" ca="1" si="23"/>
        <v>0</v>
      </c>
      <c r="BA185" s="269">
        <f t="shared" ca="1" si="24"/>
        <v>0</v>
      </c>
      <c r="BB185" s="269">
        <f t="shared" ca="1" si="25"/>
        <v>1000</v>
      </c>
    </row>
    <row r="186" spans="19:54">
      <c r="S186" s="276"/>
      <c r="T186" s="276"/>
      <c r="U186" s="276"/>
      <c r="V186" s="276"/>
      <c r="W186" s="276"/>
      <c r="AB186" s="19"/>
      <c r="AT186" s="332">
        <f t="shared" ca="1" si="21"/>
        <v>505.5</v>
      </c>
      <c r="AU186" s="385">
        <f t="shared" ca="1" si="20"/>
        <v>43662</v>
      </c>
      <c r="AV186" s="269">
        <v>446.37396363740788</v>
      </c>
      <c r="AW186" s="385">
        <f ca="1">AU186</f>
        <v>43662</v>
      </c>
      <c r="AX186" s="269">
        <v>484.85530609423296</v>
      </c>
      <c r="AY186" s="269">
        <f t="shared" ca="1" si="22"/>
        <v>0</v>
      </c>
      <c r="AZ186" s="269">
        <f t="shared" ca="1" si="23"/>
        <v>0</v>
      </c>
      <c r="BA186" s="269">
        <f t="shared" ca="1" si="24"/>
        <v>0</v>
      </c>
      <c r="BB186" s="269">
        <f t="shared" ca="1" si="25"/>
        <v>0</v>
      </c>
    </row>
    <row r="187" spans="19:54">
      <c r="S187" s="276"/>
      <c r="T187" s="276"/>
      <c r="U187" s="276"/>
      <c r="V187" s="276"/>
      <c r="W187" s="276"/>
      <c r="AT187" s="332">
        <f t="shared" ca="1" si="21"/>
        <v>505.5</v>
      </c>
      <c r="AU187" s="385">
        <f t="shared" ca="1" si="20"/>
        <v>43663</v>
      </c>
      <c r="AV187" s="269">
        <v>446.92738181900233</v>
      </c>
      <c r="AW187" s="385">
        <f t="shared" ref="AW187:AW205" ca="1" si="26">AU187</f>
        <v>43663</v>
      </c>
      <c r="AX187" s="269">
        <v>477.53833331232892</v>
      </c>
      <c r="AY187" s="269">
        <f t="shared" ca="1" si="22"/>
        <v>0</v>
      </c>
      <c r="AZ187" s="269">
        <f t="shared" ca="1" si="23"/>
        <v>0</v>
      </c>
      <c r="BA187" s="269">
        <f t="shared" ca="1" si="24"/>
        <v>0</v>
      </c>
      <c r="BB187" s="269">
        <f t="shared" ca="1" si="25"/>
        <v>0</v>
      </c>
    </row>
    <row r="188" spans="19:54">
      <c r="S188" s="276"/>
      <c r="T188" s="276"/>
      <c r="U188" s="276"/>
      <c r="V188" s="276"/>
      <c r="W188" s="276"/>
      <c r="AT188" s="332">
        <f t="shared" ca="1" si="21"/>
        <v>505.5</v>
      </c>
      <c r="AU188" s="385">
        <f t="shared" ca="1" si="20"/>
        <v>43664</v>
      </c>
      <c r="AV188" s="269">
        <v>447.48489091031252</v>
      </c>
      <c r="AW188" s="385">
        <f t="shared" ca="1" si="26"/>
        <v>43664</v>
      </c>
      <c r="AX188" s="269">
        <v>470.11982991099359</v>
      </c>
      <c r="AY188" s="269">
        <f t="shared" ca="1" si="22"/>
        <v>0</v>
      </c>
      <c r="AZ188" s="269">
        <f t="shared" ca="1" si="23"/>
        <v>0</v>
      </c>
      <c r="BA188" s="269">
        <f t="shared" ca="1" si="24"/>
        <v>0</v>
      </c>
      <c r="BB188" s="269">
        <f t="shared" ca="1" si="25"/>
        <v>0</v>
      </c>
    </row>
    <row r="189" spans="19:54">
      <c r="S189" s="276"/>
      <c r="T189" s="276"/>
      <c r="U189" s="276"/>
      <c r="V189" s="276"/>
      <c r="W189" s="276"/>
      <c r="AT189" s="332">
        <f t="shared" ca="1" si="21"/>
        <v>505.5</v>
      </c>
      <c r="AU189" s="385">
        <f t="shared" ca="1" si="20"/>
        <v>43665</v>
      </c>
      <c r="AV189" s="269">
        <v>448.04649090982974</v>
      </c>
      <c r="AW189" s="385">
        <f t="shared" ca="1" si="26"/>
        <v>43665</v>
      </c>
      <c r="AX189" s="269">
        <v>462.59979590876026</v>
      </c>
      <c r="AY189" s="269">
        <f t="shared" ca="1" si="22"/>
        <v>0</v>
      </c>
      <c r="AZ189" s="269">
        <f t="shared" ca="1" si="23"/>
        <v>0</v>
      </c>
      <c r="BA189" s="269">
        <f t="shared" ca="1" si="24"/>
        <v>0</v>
      </c>
      <c r="BB189" s="269">
        <f t="shared" ca="1" si="25"/>
        <v>0</v>
      </c>
    </row>
    <row r="190" spans="19:54">
      <c r="S190" s="276"/>
      <c r="T190" s="276"/>
      <c r="U190" s="276"/>
      <c r="V190" s="276"/>
      <c r="W190" s="276"/>
      <c r="AT190" s="332">
        <f t="shared" ca="1" si="21"/>
        <v>505.5</v>
      </c>
      <c r="AU190" s="385">
        <f t="shared" ca="1" si="20"/>
        <v>43666</v>
      </c>
      <c r="AV190" s="269">
        <v>448.61218181956559</v>
      </c>
      <c r="AW190" s="385">
        <f t="shared" ca="1" si="26"/>
        <v>43666</v>
      </c>
      <c r="AX190" s="269">
        <v>454.9782312870957</v>
      </c>
      <c r="AY190" s="269">
        <f t="shared" ca="1" si="22"/>
        <v>0</v>
      </c>
      <c r="AZ190" s="269">
        <f t="shared" ca="1" si="23"/>
        <v>0</v>
      </c>
      <c r="BA190" s="269">
        <f t="shared" ca="1" si="24"/>
        <v>0</v>
      </c>
      <c r="BB190" s="269">
        <f t="shared" ca="1" si="25"/>
        <v>0</v>
      </c>
    </row>
    <row r="191" spans="19:54">
      <c r="AT191" s="332">
        <f t="shared" ca="1" si="21"/>
        <v>505.5</v>
      </c>
      <c r="AU191" s="385">
        <f t="shared" ca="1" si="20"/>
        <v>43667</v>
      </c>
      <c r="AV191" s="269">
        <v>449.18196363700554</v>
      </c>
      <c r="AW191" s="385">
        <f t="shared" ca="1" si="26"/>
        <v>43667</v>
      </c>
      <c r="AX191" s="269">
        <v>447.25513604599985</v>
      </c>
      <c r="AY191" s="269">
        <f t="shared" ca="1" si="22"/>
        <v>0</v>
      </c>
      <c r="AZ191" s="269">
        <f t="shared" ca="1" si="23"/>
        <v>0</v>
      </c>
      <c r="BA191" s="269">
        <f t="shared" ca="1" si="24"/>
        <v>0</v>
      </c>
      <c r="BB191" s="269">
        <f t="shared" ca="1" si="25"/>
        <v>0</v>
      </c>
    </row>
    <row r="192" spans="19:54">
      <c r="AT192" s="332">
        <f t="shared" ca="1" si="21"/>
        <v>505.5</v>
      </c>
      <c r="AU192" s="385">
        <f t="shared" ca="1" si="20"/>
        <v>43668</v>
      </c>
      <c r="AV192" s="269">
        <v>449.75583636516706</v>
      </c>
      <c r="AW192" s="385">
        <f t="shared" ca="1" si="26"/>
        <v>43668</v>
      </c>
      <c r="AX192" s="269">
        <v>439.430510204006</v>
      </c>
      <c r="AY192" s="269">
        <f t="shared" ca="1" si="22"/>
        <v>0</v>
      </c>
      <c r="AZ192" s="269">
        <f t="shared" ca="1" si="23"/>
        <v>0</v>
      </c>
      <c r="BA192" s="269">
        <f t="shared" ca="1" si="24"/>
        <v>0</v>
      </c>
      <c r="BB192" s="269">
        <f t="shared" ca="1" si="25"/>
        <v>0</v>
      </c>
    </row>
    <row r="193" spans="46:54">
      <c r="AT193" s="332">
        <f t="shared" ca="1" si="21"/>
        <v>505.5</v>
      </c>
      <c r="AU193" s="385">
        <f t="shared" ca="1" si="20"/>
        <v>43669</v>
      </c>
      <c r="AV193" s="269">
        <v>450.33380000103267</v>
      </c>
      <c r="AW193" s="385">
        <f t="shared" ca="1" si="26"/>
        <v>43669</v>
      </c>
      <c r="AX193" s="269">
        <v>431.50435374258086</v>
      </c>
      <c r="AY193" s="269">
        <f t="shared" ca="1" si="22"/>
        <v>0</v>
      </c>
      <c r="AZ193" s="269">
        <f t="shared" ca="1" si="23"/>
        <v>0</v>
      </c>
      <c r="BA193" s="269">
        <f t="shared" ca="1" si="24"/>
        <v>0</v>
      </c>
      <c r="BB193" s="269">
        <f t="shared" ca="1" si="25"/>
        <v>0</v>
      </c>
    </row>
    <row r="194" spans="46:54">
      <c r="AT194" s="332">
        <f t="shared" ca="1" si="21"/>
        <v>505.5</v>
      </c>
      <c r="AU194" s="385">
        <f t="shared" ca="1" si="20"/>
        <v>43670</v>
      </c>
      <c r="AV194" s="269">
        <v>450.91585454711691</v>
      </c>
      <c r="AW194" s="385">
        <f t="shared" ca="1" si="26"/>
        <v>43670</v>
      </c>
      <c r="AX194" s="269">
        <v>423.47666666172444</v>
      </c>
      <c r="AY194" s="269">
        <f t="shared" ca="1" si="22"/>
        <v>0</v>
      </c>
      <c r="AZ194" s="269">
        <f t="shared" ca="1" si="23"/>
        <v>0</v>
      </c>
      <c r="BA194" s="269">
        <f t="shared" ca="1" si="24"/>
        <v>0</v>
      </c>
      <c r="BB194" s="269">
        <f t="shared" ca="1" si="25"/>
        <v>0</v>
      </c>
    </row>
    <row r="195" spans="46:54">
      <c r="AT195" s="332">
        <f t="shared" ca="1" si="21"/>
        <v>505.5</v>
      </c>
      <c r="AU195" s="385">
        <f t="shared" ca="1" si="20"/>
        <v>43671</v>
      </c>
      <c r="AV195" s="269">
        <v>451.50200000090524</v>
      </c>
      <c r="AW195" s="385">
        <f t="shared" ca="1" si="26"/>
        <v>43671</v>
      </c>
      <c r="AX195" s="269">
        <v>415.34744897997007</v>
      </c>
      <c r="AY195" s="269">
        <f t="shared" ca="1" si="22"/>
        <v>0</v>
      </c>
      <c r="AZ195" s="269">
        <f t="shared" ca="1" si="23"/>
        <v>0</v>
      </c>
      <c r="BA195" s="269">
        <f t="shared" ca="1" si="24"/>
        <v>0</v>
      </c>
      <c r="BB195" s="269">
        <f t="shared" ca="1" si="25"/>
        <v>0</v>
      </c>
    </row>
    <row r="196" spans="46:54">
      <c r="AT196" s="332">
        <f t="shared" ca="1" si="21"/>
        <v>505.5</v>
      </c>
      <c r="AU196" s="385">
        <f t="shared" ca="1" si="20"/>
        <v>43672</v>
      </c>
      <c r="AV196" s="269">
        <v>452.09223636440936</v>
      </c>
      <c r="AW196" s="385">
        <f t="shared" ca="1" si="26"/>
        <v>43672</v>
      </c>
      <c r="AX196" s="269">
        <v>407.11670067878441</v>
      </c>
      <c r="AY196" s="269">
        <f t="shared" ca="1" si="22"/>
        <v>0</v>
      </c>
      <c r="AZ196" s="269">
        <f t="shared" ca="1" si="23"/>
        <v>0</v>
      </c>
      <c r="BA196" s="269">
        <f t="shared" ca="1" si="24"/>
        <v>0</v>
      </c>
      <c r="BB196" s="269">
        <f t="shared" ca="1" si="25"/>
        <v>0</v>
      </c>
    </row>
    <row r="197" spans="46:54">
      <c r="AT197" s="332">
        <f t="shared" ca="1" si="21"/>
        <v>505.5</v>
      </c>
      <c r="AU197" s="385">
        <f t="shared" ca="1" si="20"/>
        <v>43673</v>
      </c>
      <c r="AV197" s="269">
        <v>452.68656363762915</v>
      </c>
      <c r="AW197" s="385">
        <f t="shared" ca="1" si="26"/>
        <v>43673</v>
      </c>
      <c r="AX197" s="269">
        <v>398.78442173963413</v>
      </c>
      <c r="AY197" s="269">
        <f t="shared" ca="1" si="22"/>
        <v>0</v>
      </c>
      <c r="AZ197" s="269">
        <f t="shared" ca="1" si="23"/>
        <v>0</v>
      </c>
      <c r="BA197" s="269">
        <f t="shared" ca="1" si="24"/>
        <v>0</v>
      </c>
      <c r="BB197" s="269">
        <f t="shared" ca="1" si="25"/>
        <v>0</v>
      </c>
    </row>
    <row r="198" spans="46:54">
      <c r="AT198" s="332">
        <f t="shared" ca="1" si="21"/>
        <v>505.5</v>
      </c>
      <c r="AU198" s="385">
        <f t="shared" ca="1" si="20"/>
        <v>43674</v>
      </c>
      <c r="AV198" s="269">
        <v>453.28498181905599</v>
      </c>
      <c r="AW198" s="385">
        <f t="shared" ca="1" si="26"/>
        <v>43674</v>
      </c>
      <c r="AX198" s="269">
        <v>390.35061221811918</v>
      </c>
      <c r="AY198" s="269">
        <f t="shared" ca="1" si="22"/>
        <v>0</v>
      </c>
      <c r="AZ198" s="269">
        <f t="shared" ca="1" si="23"/>
        <v>0</v>
      </c>
      <c r="BA198" s="269">
        <f t="shared" ca="1" si="24"/>
        <v>0</v>
      </c>
      <c r="BB198" s="269">
        <f t="shared" ca="1" si="25"/>
        <v>0</v>
      </c>
    </row>
    <row r="199" spans="46:54">
      <c r="AT199" s="332">
        <f t="shared" ca="1" si="21"/>
        <v>505.5</v>
      </c>
      <c r="AU199" s="385">
        <f t="shared" ca="1" si="20"/>
        <v>43675</v>
      </c>
      <c r="AV199" s="269">
        <v>453.88749091019855</v>
      </c>
      <c r="AW199" s="385">
        <f t="shared" ca="1" si="26"/>
        <v>43675</v>
      </c>
      <c r="AX199" s="269">
        <v>381.81527207717301</v>
      </c>
      <c r="AY199" s="269">
        <f t="shared" ca="1" si="22"/>
        <v>0</v>
      </c>
      <c r="AZ199" s="269">
        <f t="shared" ca="1" si="23"/>
        <v>0</v>
      </c>
      <c r="BA199" s="269">
        <f t="shared" ca="1" si="24"/>
        <v>0</v>
      </c>
      <c r="BB199" s="269">
        <f t="shared" ca="1" si="25"/>
        <v>0</v>
      </c>
    </row>
    <row r="200" spans="46:54">
      <c r="AT200" s="332">
        <f t="shared" ca="1" si="21"/>
        <v>505.5</v>
      </c>
      <c r="AU200" s="385">
        <f t="shared" ca="1" si="20"/>
        <v>43676</v>
      </c>
      <c r="AV200" s="269">
        <v>454.494090910051</v>
      </c>
      <c r="AW200" s="385">
        <f t="shared" ca="1" si="26"/>
        <v>43676</v>
      </c>
      <c r="AX200" s="269">
        <v>373.17840133532883</v>
      </c>
      <c r="AY200" s="269">
        <f t="shared" ca="1" si="22"/>
        <v>0</v>
      </c>
      <c r="AZ200" s="269">
        <f t="shared" ca="1" si="23"/>
        <v>0</v>
      </c>
      <c r="BA200" s="269">
        <f t="shared" ca="1" si="24"/>
        <v>0</v>
      </c>
      <c r="BB200" s="269">
        <f t="shared" ca="1" si="25"/>
        <v>0</v>
      </c>
    </row>
    <row r="201" spans="46:54">
      <c r="AT201" s="332">
        <f t="shared" ca="1" si="21"/>
        <v>505.5</v>
      </c>
      <c r="AU201" s="385">
        <f t="shared" ca="1" si="20"/>
        <v>43677</v>
      </c>
      <c r="AV201" s="269">
        <v>455.10478181961923</v>
      </c>
      <c r="AW201" s="385">
        <f t="shared" ca="1" si="26"/>
        <v>43677</v>
      </c>
      <c r="AX201" s="269">
        <v>364.43999999258665</v>
      </c>
      <c r="AY201" s="269">
        <f t="shared" ca="1" si="22"/>
        <v>0</v>
      </c>
      <c r="AZ201" s="269">
        <f t="shared" ca="1" si="23"/>
        <v>0</v>
      </c>
      <c r="BA201" s="269">
        <f t="shared" ca="1" si="24"/>
        <v>0</v>
      </c>
      <c r="BB201" s="269">
        <f t="shared" ca="1" si="25"/>
        <v>0</v>
      </c>
    </row>
    <row r="202" spans="46:54">
      <c r="AT202" s="332">
        <f t="shared" ca="1" si="21"/>
        <v>505.5</v>
      </c>
      <c r="AU202" s="385">
        <f t="shared" ca="1" si="20"/>
        <v>43678</v>
      </c>
      <c r="AV202" s="269">
        <v>455.71956363739446</v>
      </c>
      <c r="AW202" s="385">
        <f t="shared" ca="1" si="26"/>
        <v>43678</v>
      </c>
      <c r="AX202" s="269">
        <v>355.6000680118799</v>
      </c>
      <c r="AY202" s="269">
        <f t="shared" ca="1" si="22"/>
        <v>0</v>
      </c>
      <c r="AZ202" s="269">
        <f t="shared" ca="1" si="23"/>
        <v>0</v>
      </c>
      <c r="BA202" s="269">
        <f t="shared" ca="1" si="24"/>
        <v>0</v>
      </c>
      <c r="BB202" s="269">
        <f t="shared" ca="1" si="25"/>
        <v>0</v>
      </c>
    </row>
    <row r="203" spans="46:54">
      <c r="AT203" s="332">
        <f t="shared" ca="1" si="21"/>
        <v>505.5</v>
      </c>
      <c r="AU203" s="385">
        <f t="shared" ca="1" si="20"/>
        <v>43679</v>
      </c>
      <c r="AV203" s="269">
        <v>456.33843636488541</v>
      </c>
      <c r="AW203" s="385">
        <f t="shared" ca="1" si="26"/>
        <v>43679</v>
      </c>
      <c r="AX203" s="269">
        <v>346.6586054302752</v>
      </c>
      <c r="AY203" s="269">
        <f t="shared" ca="1" si="22"/>
        <v>0</v>
      </c>
      <c r="AZ203" s="269">
        <f t="shared" ca="1" si="23"/>
        <v>0</v>
      </c>
      <c r="BA203" s="269">
        <f t="shared" ca="1" si="24"/>
        <v>0</v>
      </c>
      <c r="BB203" s="269">
        <f t="shared" ca="1" si="25"/>
        <v>0</v>
      </c>
    </row>
    <row r="204" spans="46:54">
      <c r="AT204" s="332">
        <f t="shared" ca="1" si="21"/>
        <v>505.5</v>
      </c>
      <c r="AU204" s="385">
        <f t="shared" ca="1" si="20"/>
        <v>43680</v>
      </c>
      <c r="AV204" s="269">
        <v>456.9614000010863</v>
      </c>
      <c r="AW204" s="385">
        <f t="shared" ca="1" si="26"/>
        <v>43680</v>
      </c>
      <c r="AX204" s="269">
        <v>337.61561222923922</v>
      </c>
      <c r="AY204" s="269">
        <f t="shared" ca="1" si="22"/>
        <v>0</v>
      </c>
      <c r="AZ204" s="269">
        <f t="shared" ca="1" si="23"/>
        <v>0</v>
      </c>
      <c r="BA204" s="269">
        <f t="shared" ca="1" si="24"/>
        <v>0</v>
      </c>
      <c r="BB204" s="269">
        <f t="shared" ca="1" si="25"/>
        <v>0</v>
      </c>
    </row>
    <row r="205" spans="46:54">
      <c r="AT205" s="332">
        <f t="shared" ca="1" si="21"/>
        <v>505.5</v>
      </c>
      <c r="AU205" s="385">
        <f t="shared" ca="1" si="20"/>
        <v>43681</v>
      </c>
      <c r="AV205" s="269">
        <v>457.58845454599708</v>
      </c>
      <c r="AW205" s="385">
        <f t="shared" ca="1" si="26"/>
        <v>43681</v>
      </c>
      <c r="AX205" s="269">
        <v>328.47108842730523</v>
      </c>
      <c r="AY205" s="269">
        <f t="shared" ca="1" si="22"/>
        <v>0</v>
      </c>
      <c r="AZ205" s="269">
        <f t="shared" ca="1" si="23"/>
        <v>0</v>
      </c>
      <c r="BA205" s="269">
        <f t="shared" ca="1" si="24"/>
        <v>0</v>
      </c>
      <c r="BB205" s="269">
        <f t="shared" ca="1" si="25"/>
        <v>0</v>
      </c>
    </row>
  </sheetData>
  <sheetProtection sheet="1" objects="1" scenarios="1" selectLockedCells="1"/>
  <scenarios current="0" show="0">
    <scenario name="Corn Already Planted" count="1" user="William Edwards" comment="Created by William Edwards on 4/14/2005">
      <inputCells r="F15" val="38467" numFmtId="16"/>
    </scenario>
  </scenarios>
  <mergeCells count="14">
    <mergeCell ref="J10:J11"/>
    <mergeCell ref="L10:L11"/>
    <mergeCell ref="N10:N11"/>
    <mergeCell ref="D6:F6"/>
    <mergeCell ref="J8:N8"/>
    <mergeCell ref="J9:N9"/>
    <mergeCell ref="C37:H37"/>
    <mergeCell ref="C71:F71"/>
    <mergeCell ref="AO86:AP86"/>
    <mergeCell ref="C29:D29"/>
    <mergeCell ref="E19:F19"/>
    <mergeCell ref="J19:J20"/>
    <mergeCell ref="L19:L20"/>
    <mergeCell ref="N19:N20"/>
  </mergeCells>
  <conditionalFormatting sqref="J26:K26">
    <cfRule type="cellIs" dxfId="112" priority="38" operator="equal">
      <formula>0</formula>
    </cfRule>
  </conditionalFormatting>
  <conditionalFormatting sqref="L26:N26">
    <cfRule type="cellIs" dxfId="111" priority="37" operator="equal">
      <formula>0</formula>
    </cfRule>
  </conditionalFormatting>
  <conditionalFormatting sqref="J50 L50 N50">
    <cfRule type="iconSet" priority="10">
      <iconSet iconSet="3TrafficLights2">
        <cfvo type="percent" val="0"/>
        <cfvo type="percent" val="33"/>
        <cfvo type="percent" val="67"/>
      </iconSet>
    </cfRule>
  </conditionalFormatting>
  <conditionalFormatting sqref="J27:J28 L27:L28">
    <cfRule type="expression" dxfId="110" priority="56">
      <formula>OR($AH$80=2,$AH$80&gt;3)</formula>
    </cfRule>
  </conditionalFormatting>
  <conditionalFormatting sqref="J26 L26">
    <cfRule type="expression" dxfId="109" priority="58">
      <formula>$AH$80&lt;4</formula>
    </cfRule>
  </conditionalFormatting>
  <conditionalFormatting sqref="E21:F21">
    <cfRule type="expression" dxfId="108" priority="60">
      <formula>OR($AH$80&lt;3,$AH$80&gt;3)</formula>
    </cfRule>
  </conditionalFormatting>
  <conditionalFormatting sqref="N27:N28">
    <cfRule type="expression" dxfId="107" priority="61">
      <formula>OR($AI$80=2,$AI$80&gt;3)</formula>
    </cfRule>
  </conditionalFormatting>
  <conditionalFormatting sqref="N26">
    <cfRule type="expression" dxfId="106" priority="62">
      <formula>$AI$80&lt;4</formula>
    </cfRule>
  </conditionalFormatting>
  <conditionalFormatting sqref="H21">
    <cfRule type="expression" dxfId="105" priority="63">
      <formula>OR($AI$80&lt;3,$AI$80&gt;3)</formula>
    </cfRule>
  </conditionalFormatting>
  <conditionalFormatting sqref="J39:K39">
    <cfRule type="cellIs" dxfId="104" priority="2" operator="equal">
      <formula>0</formula>
    </cfRule>
  </conditionalFormatting>
  <conditionalFormatting sqref="L39:N39">
    <cfRule type="cellIs" dxfId="103" priority="1" operator="equal">
      <formula>0</formula>
    </cfRule>
  </conditionalFormatting>
  <conditionalFormatting sqref="J39 L39">
    <cfRule type="expression" dxfId="102" priority="3">
      <formula>$AH$80&lt;4</formula>
    </cfRule>
  </conditionalFormatting>
  <conditionalFormatting sqref="N39">
    <cfRule type="expression" dxfId="101" priority="4">
      <formula>$AI$80&lt;4</formula>
    </cfRule>
  </conditionalFormatting>
  <dataValidations count="5">
    <dataValidation type="list" allowBlank="1" showInputMessage="1" showErrorMessage="1" sqref="E19 H19">
      <formula1>$AN$83:$AN$87</formula1>
    </dataValidation>
    <dataValidation type="list" allowBlank="1" showInputMessage="1" showErrorMessage="1" sqref="F23:H23">
      <formula1>$AK$83:$AK$100</formula1>
    </dataValidation>
    <dataValidation type="list" allowBlank="1" showInputMessage="1" showErrorMessage="1" sqref="F21:H21">
      <formula1>$AH$83:$AH$123</formula1>
    </dataValidation>
    <dataValidation type="list" allowBlank="1" showInputMessage="1" showErrorMessage="1" sqref="H87">
      <formula1>$AH$70:$AH$72</formula1>
    </dataValidation>
    <dataValidation allowBlank="1" showInputMessage="1" showErrorMessage="1" prompt="The futures price is used to estimate crop revenue insurance payments." sqref="F10:H10"/>
  </dataValidations>
  <pageMargins left="0.45" right="0.51" top="0.53" bottom="0.5" header="0.5" footer="0.5"/>
  <pageSetup scale="69" orientation="landscape" r:id="rId1"/>
  <headerFooter alignWithMargins="0"/>
  <ignoredErrors>
    <ignoredError sqref="L19:N23 L15:N15 G16 N39 M24:N2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RMAData!$A$3:$A$117</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O206"/>
  <sheetViews>
    <sheetView showGridLines="0" zoomScale="85" zoomScaleNormal="85" workbookViewId="0">
      <selection activeCell="D6" sqref="D6:F6"/>
    </sheetView>
  </sheetViews>
  <sheetFormatPr defaultRowHeight="12.75"/>
  <cols>
    <col min="1" max="1" width="1.140625" style="272" customWidth="1"/>
    <col min="2" max="2" width="1.7109375" style="269" customWidth="1"/>
    <col min="3" max="3" width="29.7109375" style="269" customWidth="1"/>
    <col min="4" max="4" width="14" style="269" customWidth="1"/>
    <col min="5" max="5" width="0.85546875" style="273" customWidth="1"/>
    <col min="6" max="6" width="16.7109375" style="269" customWidth="1"/>
    <col min="7" max="7" width="0.85546875" style="273" customWidth="1"/>
    <col min="8" max="8" width="16.85546875" style="269" customWidth="1"/>
    <col min="9" max="9" width="1.7109375" style="268" customWidth="1"/>
    <col min="10" max="10" width="14.28515625" style="269" hidden="1" customWidth="1"/>
    <col min="11" max="11" width="0.85546875" style="276" hidden="1" customWidth="1"/>
    <col min="12" max="12" width="13.5703125" style="269" hidden="1" customWidth="1"/>
    <col min="13" max="13" width="0.85546875" style="268" hidden="1" customWidth="1"/>
    <col min="14" max="14" width="15.140625" style="269" hidden="1" customWidth="1"/>
    <col min="15" max="15" width="1.7109375" style="268" hidden="1" customWidth="1"/>
    <col min="16" max="16" width="14.140625" style="269" customWidth="1"/>
    <col min="17" max="17" width="0.85546875" style="269" customWidth="1"/>
    <col min="18" max="18" width="14.5703125" style="269" customWidth="1"/>
    <col min="19" max="19" width="0.85546875" style="269" customWidth="1"/>
    <col min="20" max="20" width="12.28515625" style="269" customWidth="1"/>
    <col min="21" max="21" width="1.7109375" style="269" customWidth="1"/>
    <col min="22" max="22" width="15.5703125" style="269" hidden="1" customWidth="1"/>
    <col min="23" max="23" width="0.85546875" style="269" hidden="1" customWidth="1"/>
    <col min="24" max="24" width="12.28515625" style="269" hidden="1" customWidth="1"/>
    <col min="25" max="25" width="1.7109375" style="269" hidden="1" customWidth="1"/>
    <col min="26" max="26" width="12.28515625" style="269" hidden="1" customWidth="1"/>
    <col min="27" max="27" width="0.85546875" style="269" hidden="1" customWidth="1"/>
    <col min="28" max="28" width="12.28515625" style="269" hidden="1" customWidth="1"/>
    <col min="29" max="29" width="0" style="269" hidden="1" customWidth="1"/>
    <col min="30" max="39" width="9.140625" style="269"/>
    <col min="40" max="40" width="32.5703125" style="269" customWidth="1"/>
    <col min="41" max="41" width="11.85546875" style="269" customWidth="1"/>
    <col min="42" max="42" width="13.5703125" style="269" customWidth="1"/>
    <col min="43" max="43" width="11.7109375" style="269" customWidth="1"/>
    <col min="44" max="44" width="12.85546875" style="269" customWidth="1"/>
    <col min="45" max="52" width="9.140625" style="269"/>
    <col min="53" max="53" width="34.42578125" style="269" bestFit="1" customWidth="1"/>
    <col min="54" max="62" width="9.140625" style="269"/>
    <col min="63" max="63" width="9.85546875" style="269" bestFit="1" customWidth="1"/>
    <col min="64" max="16384" width="9.140625" style="269"/>
  </cols>
  <sheetData>
    <row r="1" spans="1:35" s="250" customFormat="1" ht="18.75" thickBot="1">
      <c r="A1" s="249"/>
      <c r="C1" s="251" t="s">
        <v>219</v>
      </c>
      <c r="D1" s="251"/>
      <c r="E1" s="251"/>
      <c r="F1" s="251"/>
      <c r="G1" s="251"/>
      <c r="H1" s="251"/>
      <c r="I1" s="251"/>
      <c r="J1" s="251"/>
      <c r="K1" s="251"/>
      <c r="L1" s="251"/>
      <c r="M1" s="251"/>
      <c r="N1" s="251"/>
      <c r="O1" s="251"/>
      <c r="P1" s="251" t="s">
        <v>220</v>
      </c>
      <c r="Q1" s="251"/>
      <c r="R1" s="251"/>
      <c r="S1" s="251"/>
      <c r="T1" s="251"/>
    </row>
    <row r="2" spans="1:35" s="253" customFormat="1" ht="7.5" customHeight="1" thickTop="1">
      <c r="A2" s="252"/>
    </row>
    <row r="3" spans="1:35" s="264" customFormat="1" ht="15">
      <c r="A3" s="252"/>
      <c r="B3" s="254"/>
      <c r="C3" s="255" t="s">
        <v>218</v>
      </c>
      <c r="D3" s="256"/>
      <c r="E3" s="257"/>
      <c r="F3" s="258"/>
      <c r="G3" s="259"/>
      <c r="H3" s="260"/>
      <c r="I3" s="261"/>
      <c r="J3" s="260"/>
      <c r="K3" s="262"/>
      <c r="L3" s="263"/>
      <c r="M3" s="263"/>
      <c r="N3" s="263"/>
      <c r="O3" s="263"/>
      <c r="P3" s="254"/>
      <c r="Q3" s="254"/>
      <c r="R3" s="254"/>
      <c r="S3" s="254"/>
      <c r="T3" s="254"/>
    </row>
    <row r="4" spans="1:35" s="264" customFormat="1" ht="15">
      <c r="A4" s="252"/>
      <c r="B4" s="254"/>
      <c r="C4" s="488" t="s">
        <v>209</v>
      </c>
      <c r="D4" s="265"/>
      <c r="E4" s="266"/>
      <c r="F4" s="260"/>
      <c r="G4" s="266"/>
      <c r="H4" s="260"/>
      <c r="I4" s="261"/>
      <c r="J4" s="33"/>
      <c r="K4" s="33"/>
      <c r="L4" s="267"/>
      <c r="M4" s="267"/>
      <c r="N4" s="267"/>
      <c r="O4" s="268"/>
      <c r="P4" s="269"/>
      <c r="Q4" s="269"/>
      <c r="R4" s="269"/>
      <c r="S4" s="269"/>
      <c r="T4" s="269"/>
      <c r="U4" s="269"/>
      <c r="V4" s="269"/>
      <c r="W4" s="269"/>
      <c r="X4" s="269"/>
      <c r="Y4" s="269"/>
      <c r="Z4" s="269"/>
      <c r="AA4" s="269"/>
      <c r="AB4" s="269"/>
      <c r="AC4" s="269"/>
      <c r="AD4" s="270"/>
      <c r="AE4" s="270"/>
      <c r="AF4" s="270"/>
      <c r="AG4" s="270"/>
      <c r="AH4" s="270"/>
      <c r="AI4" s="269"/>
    </row>
    <row r="5" spans="1:35" s="264" customFormat="1" ht="6.75" customHeight="1">
      <c r="A5" s="252"/>
      <c r="B5" s="254"/>
      <c r="C5" s="166"/>
      <c r="D5" s="271"/>
      <c r="E5" s="266"/>
      <c r="F5" s="260"/>
      <c r="G5" s="266"/>
      <c r="H5" s="260"/>
      <c r="I5" s="261"/>
      <c r="J5" s="33"/>
      <c r="K5" s="33"/>
      <c r="L5" s="267"/>
      <c r="M5" s="267"/>
      <c r="N5" s="267"/>
      <c r="O5" s="268"/>
      <c r="P5" s="269"/>
      <c r="Q5" s="269"/>
      <c r="R5" s="269"/>
      <c r="S5" s="269"/>
      <c r="T5" s="269"/>
      <c r="U5" s="269"/>
      <c r="V5" s="269"/>
      <c r="W5" s="269"/>
      <c r="X5" s="269"/>
      <c r="Y5" s="269"/>
      <c r="Z5" s="269"/>
      <c r="AA5" s="269"/>
      <c r="AB5" s="269"/>
      <c r="AC5" s="269"/>
      <c r="AD5" s="270"/>
      <c r="AE5" s="270"/>
      <c r="AF5" s="270"/>
      <c r="AG5" s="270"/>
      <c r="AH5" s="270"/>
      <c r="AI5" s="269"/>
    </row>
    <row r="6" spans="1:35" ht="15">
      <c r="B6" s="273"/>
      <c r="C6" s="167" t="s">
        <v>189</v>
      </c>
      <c r="D6" s="532" t="s">
        <v>42</v>
      </c>
      <c r="E6" s="525"/>
      <c r="F6" s="525"/>
      <c r="G6" s="274"/>
      <c r="H6" s="17"/>
      <c r="I6" s="275"/>
      <c r="L6" s="19"/>
      <c r="M6" s="21"/>
      <c r="AD6" s="270"/>
      <c r="AE6" s="270"/>
      <c r="AF6" s="270"/>
      <c r="AG6" s="270"/>
      <c r="AH6" s="270"/>
    </row>
    <row r="7" spans="1:35" ht="6" customHeight="1" thickBot="1">
      <c r="B7" s="273"/>
      <c r="H7" s="17"/>
      <c r="I7" s="275"/>
      <c r="J7" s="264"/>
      <c r="K7" s="54"/>
      <c r="AD7" s="270"/>
      <c r="AE7" s="270"/>
      <c r="AF7" s="270"/>
      <c r="AG7" s="270"/>
      <c r="AH7" s="270"/>
    </row>
    <row r="8" spans="1:35" ht="18" thickBot="1">
      <c r="B8" s="273"/>
      <c r="C8" s="277" t="s">
        <v>184</v>
      </c>
      <c r="D8" s="278"/>
      <c r="E8" s="279"/>
      <c r="F8" s="120" t="s">
        <v>0</v>
      </c>
      <c r="G8" s="121"/>
      <c r="H8" s="122" t="s">
        <v>1</v>
      </c>
      <c r="I8" s="275"/>
      <c r="J8" s="526" t="s">
        <v>5</v>
      </c>
      <c r="K8" s="527"/>
      <c r="L8" s="527"/>
      <c r="M8" s="527"/>
      <c r="N8" s="528"/>
      <c r="O8" s="111"/>
      <c r="P8" s="526" t="s">
        <v>12</v>
      </c>
      <c r="Q8" s="527"/>
      <c r="R8" s="527"/>
      <c r="S8" s="527"/>
      <c r="T8" s="528"/>
      <c r="U8" s="25"/>
      <c r="V8" s="526" t="s">
        <v>10</v>
      </c>
      <c r="W8" s="527"/>
      <c r="X8" s="528"/>
      <c r="Y8" s="25"/>
      <c r="Z8" s="526" t="s">
        <v>11</v>
      </c>
      <c r="AA8" s="527"/>
      <c r="AB8" s="528"/>
      <c r="AC8" s="280"/>
      <c r="AD8" s="26"/>
      <c r="AE8" s="280"/>
      <c r="AF8" s="280"/>
      <c r="AG8" s="280"/>
      <c r="AH8" s="280"/>
      <c r="AI8" s="22"/>
    </row>
    <row r="9" spans="1:35" ht="15.75" thickTop="1">
      <c r="B9" s="273"/>
      <c r="C9" s="49" t="s">
        <v>191</v>
      </c>
      <c r="D9" s="205"/>
      <c r="E9" s="126"/>
      <c r="F9" s="112">
        <v>4</v>
      </c>
      <c r="G9" s="282"/>
      <c r="H9" s="113">
        <v>10</v>
      </c>
      <c r="I9" s="275"/>
      <c r="J9" s="529" t="s">
        <v>186</v>
      </c>
      <c r="K9" s="530"/>
      <c r="L9" s="530"/>
      <c r="M9" s="530"/>
      <c r="N9" s="531"/>
      <c r="O9" s="48"/>
      <c r="P9" s="529" t="s">
        <v>186</v>
      </c>
      <c r="Q9" s="530"/>
      <c r="R9" s="530"/>
      <c r="S9" s="530"/>
      <c r="T9" s="531"/>
      <c r="U9" s="2"/>
      <c r="V9" s="529" t="s">
        <v>186</v>
      </c>
      <c r="W9" s="530"/>
      <c r="X9" s="531"/>
      <c r="Y9" s="4"/>
      <c r="Z9" s="529" t="s">
        <v>186</v>
      </c>
      <c r="AA9" s="530"/>
      <c r="AB9" s="531"/>
      <c r="AC9" s="4"/>
      <c r="AD9" s="270"/>
      <c r="AE9" s="4"/>
      <c r="AF9" s="4"/>
      <c r="AG9" s="4"/>
      <c r="AH9" s="4"/>
      <c r="AI9" s="4"/>
    </row>
    <row r="10" spans="1:35" ht="12.75" customHeight="1">
      <c r="B10" s="273"/>
      <c r="C10" s="49" t="s">
        <v>192</v>
      </c>
      <c r="D10" s="47"/>
      <c r="E10" s="126"/>
      <c r="F10" s="112">
        <v>4</v>
      </c>
      <c r="G10" s="282"/>
      <c r="H10" s="113">
        <v>10</v>
      </c>
      <c r="I10" s="275"/>
      <c r="J10" s="518" t="s">
        <v>194</v>
      </c>
      <c r="K10" s="174"/>
      <c r="L10" s="520" t="s">
        <v>27</v>
      </c>
      <c r="M10" s="69"/>
      <c r="N10" s="522" t="s">
        <v>30</v>
      </c>
      <c r="O10" s="5"/>
      <c r="P10" s="518" t="s">
        <v>32</v>
      </c>
      <c r="Q10" s="174"/>
      <c r="R10" s="520" t="s">
        <v>9</v>
      </c>
      <c r="S10" s="69"/>
      <c r="T10" s="522" t="s">
        <v>33</v>
      </c>
      <c r="U10" s="4"/>
      <c r="V10" s="518" t="s">
        <v>190</v>
      </c>
      <c r="W10" s="145"/>
      <c r="X10" s="522" t="s">
        <v>31</v>
      </c>
      <c r="Y10" s="4"/>
      <c r="Z10" s="518" t="s">
        <v>32</v>
      </c>
      <c r="AA10" s="145"/>
      <c r="AB10" s="522" t="s">
        <v>9</v>
      </c>
      <c r="AC10" s="4"/>
      <c r="AD10" s="270"/>
      <c r="AE10" s="4"/>
      <c r="AF10" s="4"/>
      <c r="AG10" s="4"/>
      <c r="AH10" s="4"/>
      <c r="AI10" s="4"/>
    </row>
    <row r="11" spans="1:35" ht="15">
      <c r="B11" s="273"/>
      <c r="C11" s="283" t="s">
        <v>193</v>
      </c>
      <c r="D11" s="268"/>
      <c r="E11" s="284"/>
      <c r="F11" s="208">
        <f>AO89</f>
        <v>4</v>
      </c>
      <c r="G11" s="208"/>
      <c r="H11" s="209">
        <f>AP89</f>
        <v>9.5399999999999991</v>
      </c>
      <c r="I11" s="275"/>
      <c r="J11" s="519"/>
      <c r="K11" s="174"/>
      <c r="L11" s="521"/>
      <c r="M11" s="69"/>
      <c r="N11" s="523"/>
      <c r="O11" s="7"/>
      <c r="P11" s="519"/>
      <c r="Q11" s="174"/>
      <c r="R11" s="521"/>
      <c r="S11" s="69"/>
      <c r="T11" s="523"/>
      <c r="U11" s="4"/>
      <c r="V11" s="519"/>
      <c r="W11" s="146"/>
      <c r="X11" s="523"/>
      <c r="Y11" s="4"/>
      <c r="Z11" s="519"/>
      <c r="AA11" s="146"/>
      <c r="AB11" s="523"/>
      <c r="AC11" s="4"/>
      <c r="AD11" s="270"/>
      <c r="AE11" s="4"/>
      <c r="AF11" s="4"/>
      <c r="AG11" s="4"/>
      <c r="AH11" s="4"/>
      <c r="AI11" s="4"/>
    </row>
    <row r="12" spans="1:35" ht="23.25" customHeight="1" thickBot="1">
      <c r="B12" s="273"/>
      <c r="C12" s="285" t="s">
        <v>183</v>
      </c>
      <c r="D12" s="268"/>
      <c r="E12" s="284"/>
      <c r="F12" s="286"/>
      <c r="G12" s="287"/>
      <c r="H12" s="288"/>
      <c r="I12" s="275"/>
      <c r="J12" s="56"/>
      <c r="K12" s="175"/>
      <c r="L12" s="58"/>
      <c r="M12" s="175"/>
      <c r="N12" s="203"/>
      <c r="O12" s="175"/>
      <c r="P12" s="56"/>
      <c r="Q12" s="175"/>
      <c r="R12" s="58"/>
      <c r="S12" s="175"/>
      <c r="T12" s="203"/>
      <c r="U12" s="40"/>
      <c r="V12" s="56"/>
      <c r="W12" s="175"/>
      <c r="X12" s="203"/>
      <c r="Y12" s="40"/>
      <c r="Z12" s="56"/>
      <c r="AA12" s="175"/>
      <c r="AB12" s="203"/>
      <c r="AC12" s="2"/>
      <c r="AD12" s="289"/>
      <c r="AE12" s="2"/>
      <c r="AF12" s="2"/>
      <c r="AG12" s="2"/>
      <c r="AH12" s="2"/>
      <c r="AI12" s="2"/>
    </row>
    <row r="13" spans="1:35" ht="15" customHeight="1" thickTop="1">
      <c r="B13" s="273"/>
      <c r="C13" s="49" t="s">
        <v>171</v>
      </c>
      <c r="D13" s="47"/>
      <c r="E13" s="126"/>
      <c r="F13" s="114">
        <v>180</v>
      </c>
      <c r="G13" s="287"/>
      <c r="H13" s="115">
        <v>50</v>
      </c>
      <c r="J13" s="56"/>
      <c r="K13" s="175"/>
      <c r="L13" s="58"/>
      <c r="M13" s="175"/>
      <c r="N13" s="203"/>
      <c r="O13" s="175"/>
      <c r="P13" s="56"/>
      <c r="Q13" s="175"/>
      <c r="R13" s="58"/>
      <c r="S13" s="175"/>
      <c r="T13" s="203"/>
      <c r="U13" s="40"/>
      <c r="V13" s="56"/>
      <c r="W13" s="175"/>
      <c r="X13" s="203"/>
      <c r="Y13" s="40"/>
      <c r="Z13" s="56"/>
      <c r="AA13" s="175"/>
      <c r="AB13" s="203"/>
      <c r="AC13" s="2"/>
      <c r="AD13" s="291"/>
      <c r="AE13" s="2"/>
      <c r="AF13" s="2"/>
      <c r="AG13" s="2"/>
      <c r="AH13" s="2"/>
      <c r="AI13" s="2"/>
    </row>
    <row r="14" spans="1:35" ht="15" hidden="1">
      <c r="B14" s="273"/>
      <c r="C14" s="34" t="s">
        <v>172</v>
      </c>
      <c r="D14" s="47"/>
      <c r="E14" s="126"/>
      <c r="F14" s="114">
        <v>50</v>
      </c>
      <c r="G14" s="287"/>
      <c r="H14" s="435"/>
      <c r="J14" s="56"/>
      <c r="K14" s="175"/>
      <c r="L14" s="212"/>
      <c r="M14" s="31"/>
      <c r="N14" s="213"/>
      <c r="O14" s="175"/>
      <c r="P14" s="533" t="str">
        <f ca="1">IF(F15&lt;'Corn Prevented Planting'!AO96,"too soon for prevented planting","")</f>
        <v/>
      </c>
      <c r="Q14" s="175"/>
      <c r="R14" s="212"/>
      <c r="S14" s="31"/>
      <c r="T14" s="213"/>
      <c r="U14" s="40"/>
      <c r="V14" s="56"/>
      <c r="W14" s="175"/>
      <c r="X14" s="213"/>
      <c r="Y14" s="40"/>
      <c r="Z14" s="534" t="str">
        <f ca="1">IF(H15&lt;'Corn Prevented Planting'!AP96,"too soon for prevented planting","")</f>
        <v>too soon for prevented planting</v>
      </c>
      <c r="AA14" s="175"/>
      <c r="AB14" s="213"/>
      <c r="AC14" s="2"/>
      <c r="AD14" s="291"/>
      <c r="AE14" s="2"/>
      <c r="AF14" s="2"/>
      <c r="AG14" s="2"/>
      <c r="AH14" s="2"/>
      <c r="AI14" s="2"/>
    </row>
    <row r="15" spans="1:35" ht="15">
      <c r="B15" s="273"/>
      <c r="C15" s="49" t="s">
        <v>174</v>
      </c>
      <c r="D15" s="47"/>
      <c r="E15" s="126"/>
      <c r="F15" s="201">
        <v>43617</v>
      </c>
      <c r="G15" s="436"/>
      <c r="H15" s="202">
        <v>43616</v>
      </c>
      <c r="J15" s="64"/>
      <c r="K15" s="65"/>
      <c r="L15" s="214">
        <f>F15</f>
        <v>43617</v>
      </c>
      <c r="M15" s="215"/>
      <c r="N15" s="216">
        <f>H15</f>
        <v>43616</v>
      </c>
      <c r="O15" s="293"/>
      <c r="P15" s="533"/>
      <c r="Q15" s="65"/>
      <c r="R15" s="214">
        <f>F15</f>
        <v>43617</v>
      </c>
      <c r="S15" s="215"/>
      <c r="T15" s="216">
        <f>H15</f>
        <v>43616</v>
      </c>
      <c r="U15" s="437"/>
      <c r="V15" s="64"/>
      <c r="W15" s="293"/>
      <c r="X15" s="216">
        <f>H15</f>
        <v>43616</v>
      </c>
      <c r="Y15" s="437"/>
      <c r="Z15" s="534"/>
      <c r="AA15" s="293"/>
      <c r="AB15" s="216">
        <f>H15</f>
        <v>43616</v>
      </c>
      <c r="AD15" s="270"/>
      <c r="AE15" s="270"/>
      <c r="AF15" s="270"/>
      <c r="AG15" s="270"/>
      <c r="AH15" s="270"/>
    </row>
    <row r="16" spans="1:35" ht="15">
      <c r="B16" s="273"/>
      <c r="C16" s="35" t="s">
        <v>195</v>
      </c>
      <c r="D16" s="36"/>
      <c r="E16" s="126"/>
      <c r="F16" s="210">
        <f ca="1">MIN(F13,IF(AO101="Central and North MO",AO117*F13,AQ117*F13))</f>
        <v>137.6525454511866</v>
      </c>
      <c r="G16" s="210"/>
      <c r="H16" s="211">
        <f ca="1">MIN(H13,IF(AO101="Central and North MO",AP117*H13,AR117*H13))</f>
        <v>46.098639452829957</v>
      </c>
      <c r="J16" s="64"/>
      <c r="K16" s="65"/>
      <c r="L16" s="217"/>
      <c r="M16" s="218"/>
      <c r="N16" s="72"/>
      <c r="P16" s="533"/>
      <c r="Q16" s="65"/>
      <c r="R16" s="217"/>
      <c r="S16" s="218"/>
      <c r="T16" s="72"/>
      <c r="V16" s="64"/>
      <c r="W16" s="268"/>
      <c r="X16" s="72"/>
      <c r="Z16" s="534"/>
      <c r="AA16" s="268"/>
      <c r="AB16" s="72"/>
      <c r="AD16" s="270"/>
      <c r="AE16" s="270"/>
      <c r="AF16" s="270"/>
      <c r="AG16" s="270"/>
      <c r="AH16" s="270"/>
    </row>
    <row r="17" spans="1:41" ht="15">
      <c r="B17" s="273"/>
      <c r="C17" s="49" t="s">
        <v>196</v>
      </c>
      <c r="D17" s="268"/>
      <c r="E17" s="284"/>
      <c r="F17" s="286"/>
      <c r="G17" s="287"/>
      <c r="H17" s="435"/>
      <c r="I17" s="275"/>
      <c r="J17" s="64">
        <f>F14</f>
        <v>50</v>
      </c>
      <c r="K17" s="65"/>
      <c r="L17" s="70">
        <f ca="1">F16</f>
        <v>137.6525454511866</v>
      </c>
      <c r="M17" s="71"/>
      <c r="N17" s="72">
        <f ca="1">H16</f>
        <v>46.098639452829957</v>
      </c>
      <c r="O17" s="7"/>
      <c r="P17" s="64">
        <v>0</v>
      </c>
      <c r="Q17" s="65"/>
      <c r="R17" s="70">
        <f ca="1">F16</f>
        <v>137.6525454511866</v>
      </c>
      <c r="S17" s="71"/>
      <c r="T17" s="72">
        <f ca="1">H16</f>
        <v>46.098639452829957</v>
      </c>
      <c r="U17" s="4"/>
      <c r="V17" s="64">
        <f>H14</f>
        <v>0</v>
      </c>
      <c r="W17" s="6"/>
      <c r="X17" s="72">
        <f ca="1">H16</f>
        <v>46.098639452829957</v>
      </c>
      <c r="Y17" s="4"/>
      <c r="Z17" s="64">
        <v>0</v>
      </c>
      <c r="AA17" s="6"/>
      <c r="AB17" s="72">
        <f ca="1">H16</f>
        <v>46.098639452829957</v>
      </c>
      <c r="AC17" s="294"/>
      <c r="AD17" s="270"/>
      <c r="AE17" s="4"/>
      <c r="AF17" s="4"/>
      <c r="AG17" s="4"/>
      <c r="AH17" s="4"/>
      <c r="AI17" s="4"/>
    </row>
    <row r="18" spans="1:41" ht="23.25" customHeight="1" thickBot="1">
      <c r="C18" s="207" t="s">
        <v>19</v>
      </c>
      <c r="D18" s="46"/>
      <c r="E18" s="127"/>
      <c r="F18" s="123"/>
      <c r="G18" s="124"/>
      <c r="H18" s="125"/>
      <c r="J18" s="64"/>
      <c r="K18" s="65"/>
      <c r="L18" s="217"/>
      <c r="M18" s="218"/>
      <c r="N18" s="72"/>
      <c r="P18" s="64"/>
      <c r="Q18" s="65"/>
      <c r="R18" s="217"/>
      <c r="S18" s="218"/>
      <c r="T18" s="72"/>
      <c r="V18" s="64"/>
      <c r="W18" s="268"/>
      <c r="X18" s="72"/>
      <c r="Z18" s="64"/>
      <c r="AA18" s="268"/>
      <c r="AB18" s="72"/>
      <c r="AD18" s="270"/>
      <c r="AE18" s="270"/>
      <c r="AF18" s="270"/>
      <c r="AG18" s="270"/>
      <c r="AH18" s="270"/>
    </row>
    <row r="19" spans="1:41" ht="27" customHeight="1" thickTop="1">
      <c r="C19" s="49" t="s">
        <v>168</v>
      </c>
      <c r="D19" s="205"/>
      <c r="E19" s="514" t="s">
        <v>164</v>
      </c>
      <c r="F19" s="514"/>
      <c r="G19" s="295"/>
      <c r="H19" s="192" t="s">
        <v>164</v>
      </c>
      <c r="J19" s="515" t="str">
        <f>E19</f>
        <v>Revenue Protection</v>
      </c>
      <c r="K19" s="168"/>
      <c r="L19" s="516" t="str">
        <f>E19</f>
        <v>Revenue Protection</v>
      </c>
      <c r="M19" s="219"/>
      <c r="N19" s="517" t="str">
        <f>H19</f>
        <v>Revenue Protection</v>
      </c>
      <c r="O19" s="296"/>
      <c r="P19" s="515" t="str">
        <f>E19</f>
        <v>Revenue Protection</v>
      </c>
      <c r="Q19" s="168"/>
      <c r="R19" s="516" t="str">
        <f>E19</f>
        <v>Revenue Protection</v>
      </c>
      <c r="S19" s="219"/>
      <c r="T19" s="517" t="str">
        <f>H19</f>
        <v>Revenue Protection</v>
      </c>
      <c r="U19" s="438"/>
      <c r="V19" s="515" t="str">
        <f>H19</f>
        <v>Revenue Protection</v>
      </c>
      <c r="W19" s="296"/>
      <c r="X19" s="517" t="str">
        <f>H19</f>
        <v>Revenue Protection</v>
      </c>
      <c r="Y19" s="438"/>
      <c r="Z19" s="515" t="str">
        <f>H19</f>
        <v>Revenue Protection</v>
      </c>
      <c r="AA19" s="296"/>
      <c r="AB19" s="517" t="str">
        <f>H19</f>
        <v>Revenue Protection</v>
      </c>
      <c r="AD19" s="270"/>
      <c r="AE19" s="270"/>
      <c r="AF19" s="270"/>
      <c r="AG19" s="270"/>
      <c r="AH19" s="270"/>
    </row>
    <row r="20" spans="1:41" ht="15">
      <c r="C20" s="49" t="s">
        <v>216</v>
      </c>
      <c r="D20" s="205"/>
      <c r="E20" s="439"/>
      <c r="F20" s="191">
        <v>0.6</v>
      </c>
      <c r="G20" s="295"/>
      <c r="H20" s="12"/>
      <c r="J20" s="515"/>
      <c r="K20" s="168"/>
      <c r="L20" s="516"/>
      <c r="M20" s="219"/>
      <c r="N20" s="517"/>
      <c r="O20" s="296"/>
      <c r="P20" s="515"/>
      <c r="Q20" s="168"/>
      <c r="R20" s="516"/>
      <c r="S20" s="219"/>
      <c r="T20" s="517"/>
      <c r="U20" s="438"/>
      <c r="V20" s="515"/>
      <c r="W20" s="296"/>
      <c r="X20" s="517"/>
      <c r="Y20" s="438"/>
      <c r="Z20" s="515"/>
      <c r="AA20" s="296"/>
      <c r="AB20" s="517"/>
      <c r="AD20" s="270"/>
      <c r="AE20" s="270"/>
      <c r="AF20" s="270"/>
      <c r="AG20" s="270"/>
      <c r="AH20" s="270"/>
    </row>
    <row r="21" spans="1:41" ht="15">
      <c r="C21" s="204" t="s">
        <v>18</v>
      </c>
      <c r="D21" s="205"/>
      <c r="E21" s="116"/>
      <c r="F21" s="112">
        <v>25</v>
      </c>
      <c r="G21" s="282"/>
      <c r="H21" s="113">
        <v>15</v>
      </c>
      <c r="J21" s="515"/>
      <c r="K21" s="168"/>
      <c r="L21" s="516"/>
      <c r="M21" s="219"/>
      <c r="N21" s="517"/>
      <c r="O21" s="296"/>
      <c r="P21" s="515"/>
      <c r="Q21" s="168"/>
      <c r="R21" s="516"/>
      <c r="S21" s="219"/>
      <c r="T21" s="517"/>
      <c r="U21" s="438"/>
      <c r="V21" s="515"/>
      <c r="W21" s="296"/>
      <c r="X21" s="517"/>
      <c r="Y21" s="438"/>
      <c r="Z21" s="515"/>
      <c r="AA21" s="296"/>
      <c r="AB21" s="517"/>
      <c r="AD21" s="270"/>
      <c r="AE21" s="270"/>
      <c r="AF21" s="270"/>
      <c r="AG21" s="270"/>
      <c r="AH21" s="270"/>
    </row>
    <row r="22" spans="1:41" ht="15">
      <c r="C22" s="49" t="s">
        <v>197</v>
      </c>
      <c r="D22" s="205"/>
      <c r="E22" s="116"/>
      <c r="F22" s="297">
        <v>1</v>
      </c>
      <c r="G22" s="298"/>
      <c r="H22" s="118">
        <v>1</v>
      </c>
      <c r="J22" s="80" t="str">
        <f>IF($AU$80=3,F22,"")</f>
        <v/>
      </c>
      <c r="K22" s="81"/>
      <c r="L22" s="220" t="str">
        <f>IF($AU$80=3,F22,"")</f>
        <v/>
      </c>
      <c r="M22" s="81"/>
      <c r="N22" s="221" t="str">
        <f>IF($AV$80=3,H22,"")</f>
        <v/>
      </c>
      <c r="O22" s="300"/>
      <c r="P22" s="80" t="str">
        <f>IF($AU$80=3,F22,"")</f>
        <v/>
      </c>
      <c r="Q22" s="81"/>
      <c r="R22" s="220" t="str">
        <f>IF($AU$80=3,F22,"")</f>
        <v/>
      </c>
      <c r="S22" s="81"/>
      <c r="T22" s="221" t="str">
        <f>IF($AV$80=3,H22,"")</f>
        <v/>
      </c>
      <c r="U22" s="386"/>
      <c r="V22" s="80" t="str">
        <f>IF($AV$80=3,H22,"")</f>
        <v/>
      </c>
      <c r="W22" s="300"/>
      <c r="X22" s="221" t="str">
        <f>IF($AV$80=3,H22,"")</f>
        <v/>
      </c>
      <c r="Y22" s="386"/>
      <c r="Z22" s="80" t="str">
        <f>IF($AV$80=3,H22,"")</f>
        <v/>
      </c>
      <c r="AA22" s="300"/>
      <c r="AB22" s="221" t="str">
        <f>IF($AV$80=3,H22,"")</f>
        <v/>
      </c>
    </row>
    <row r="23" spans="1:41" ht="15">
      <c r="C23" s="49" t="s">
        <v>173</v>
      </c>
      <c r="D23" s="205"/>
      <c r="E23" s="116"/>
      <c r="F23" s="114">
        <v>160</v>
      </c>
      <c r="G23" s="287"/>
      <c r="H23" s="115">
        <v>45</v>
      </c>
      <c r="J23" s="82">
        <f t="shared" ref="J23:J24" si="0">F23</f>
        <v>160</v>
      </c>
      <c r="K23" s="83"/>
      <c r="L23" s="222">
        <f>F23</f>
        <v>160</v>
      </c>
      <c r="M23" s="223"/>
      <c r="N23" s="224">
        <f>H23</f>
        <v>45</v>
      </c>
      <c r="P23" s="82">
        <f>F23</f>
        <v>160</v>
      </c>
      <c r="Q23" s="83"/>
      <c r="R23" s="222">
        <f>F23</f>
        <v>160</v>
      </c>
      <c r="S23" s="223"/>
      <c r="T23" s="224">
        <f>H23</f>
        <v>45</v>
      </c>
      <c r="V23" s="82">
        <f>H23</f>
        <v>45</v>
      </c>
      <c r="W23" s="268"/>
      <c r="X23" s="224">
        <f>H23</f>
        <v>45</v>
      </c>
      <c r="Z23" s="82">
        <f>H23</f>
        <v>45</v>
      </c>
      <c r="AA23" s="268"/>
      <c r="AB23" s="224">
        <f>H23</f>
        <v>45</v>
      </c>
      <c r="AD23" s="270"/>
      <c r="AE23" s="270"/>
      <c r="AF23" s="270"/>
      <c r="AG23" s="270"/>
      <c r="AH23" s="270"/>
    </row>
    <row r="24" spans="1:41" ht="15">
      <c r="C24" s="204" t="s">
        <v>14</v>
      </c>
      <c r="D24" s="205"/>
      <c r="E24" s="116"/>
      <c r="F24" s="117">
        <v>0.85</v>
      </c>
      <c r="G24" s="298"/>
      <c r="H24" s="118">
        <v>0.75</v>
      </c>
      <c r="J24" s="80">
        <f t="shared" si="0"/>
        <v>0.85</v>
      </c>
      <c r="K24" s="81"/>
      <c r="L24" s="220">
        <f>F24</f>
        <v>0.85</v>
      </c>
      <c r="M24" s="81"/>
      <c r="N24" s="221">
        <f>H24</f>
        <v>0.75</v>
      </c>
      <c r="O24" s="300"/>
      <c r="P24" s="80">
        <f>F24</f>
        <v>0.85</v>
      </c>
      <c r="Q24" s="81"/>
      <c r="R24" s="220">
        <f>F24</f>
        <v>0.85</v>
      </c>
      <c r="S24" s="81"/>
      <c r="T24" s="221">
        <f>H24</f>
        <v>0.75</v>
      </c>
      <c r="U24" s="386"/>
      <c r="V24" s="80">
        <f>H24</f>
        <v>0.75</v>
      </c>
      <c r="W24" s="300"/>
      <c r="X24" s="221">
        <f>H24</f>
        <v>0.75</v>
      </c>
      <c r="Y24" s="386"/>
      <c r="Z24" s="80">
        <f>H24</f>
        <v>0.75</v>
      </c>
      <c r="AA24" s="300"/>
      <c r="AB24" s="221">
        <f>H24</f>
        <v>0.75</v>
      </c>
    </row>
    <row r="25" spans="1:41" ht="15">
      <c r="C25" s="49" t="s">
        <v>15</v>
      </c>
      <c r="D25" s="205"/>
      <c r="E25" s="119"/>
      <c r="F25" s="128">
        <f ca="1">IF(AU80=2,"Not Applicable",IF(F15&lt;$AO96,1,IF(F15&gt;($AO96+AO97),0.6,1-(F15-$AO96)/100))*IF(AU80=1,AO84,F24))</f>
        <v>0.84150000000000003</v>
      </c>
      <c r="G25" s="129"/>
      <c r="H25" s="130">
        <f ca="1">IF(AV80=2,"Not Applicable",IF(H15&lt;$AP96,1,IF(H15&gt;($AP96+AP97),0.6,1-(H15-$AP96)/100))*IF(AV80=1,AO84,H24))</f>
        <v>0.75</v>
      </c>
      <c r="J25" s="80">
        <f>F24</f>
        <v>0.85</v>
      </c>
      <c r="K25" s="81"/>
      <c r="L25" s="220">
        <f ca="1">F25</f>
        <v>0.84150000000000003</v>
      </c>
      <c r="M25" s="81"/>
      <c r="N25" s="221">
        <f ca="1">H25</f>
        <v>0.75</v>
      </c>
      <c r="O25" s="300"/>
      <c r="P25" s="80">
        <v>0.6</v>
      </c>
      <c r="Q25" s="81"/>
      <c r="R25" s="220">
        <f ca="1">F25</f>
        <v>0.84150000000000003</v>
      </c>
      <c r="S25" s="81"/>
      <c r="T25" s="221">
        <f ca="1">H25</f>
        <v>0.75</v>
      </c>
      <c r="U25" s="440"/>
      <c r="V25" s="80">
        <f>H24</f>
        <v>0.75</v>
      </c>
      <c r="W25" s="441"/>
      <c r="X25" s="221">
        <f ca="1">H25</f>
        <v>0.75</v>
      </c>
      <c r="Y25" s="440"/>
      <c r="Z25" s="80">
        <v>0.6</v>
      </c>
      <c r="AA25" s="441"/>
      <c r="AB25" s="221">
        <f ca="1">H25</f>
        <v>0.75</v>
      </c>
    </row>
    <row r="26" spans="1:41" ht="8.25" customHeight="1">
      <c r="B26" s="273"/>
      <c r="C26" s="301"/>
      <c r="D26" s="268"/>
      <c r="E26" s="276"/>
      <c r="F26" s="268"/>
      <c r="G26" s="276"/>
      <c r="H26" s="302"/>
      <c r="J26" s="225"/>
      <c r="K26" s="226"/>
      <c r="L26" s="227"/>
      <c r="M26" s="228"/>
      <c r="N26" s="229"/>
      <c r="P26" s="225"/>
      <c r="Q26" s="226"/>
      <c r="R26" s="227"/>
      <c r="S26" s="228"/>
      <c r="T26" s="229"/>
      <c r="V26" s="225"/>
      <c r="W26" s="268"/>
      <c r="X26" s="229"/>
      <c r="Z26" s="225"/>
      <c r="AA26" s="268"/>
      <c r="AB26" s="229"/>
    </row>
    <row r="27" spans="1:41" s="4" customFormat="1" ht="12.75" customHeight="1">
      <c r="A27" s="272"/>
      <c r="B27" s="273"/>
      <c r="C27" s="172" t="s">
        <v>176</v>
      </c>
      <c r="D27" s="6"/>
      <c r="E27" s="50"/>
      <c r="F27" s="6"/>
      <c r="G27" s="50"/>
      <c r="H27" s="303"/>
      <c r="I27" s="8"/>
      <c r="J27" s="230" t="str">
        <f>"$"&amp;ROUND(IF($AU$80&gt;3,J23*J25*$AO$89,0),2)&amp;"/acre"</f>
        <v>$544/acre</v>
      </c>
      <c r="K27" s="231"/>
      <c r="L27" s="232" t="str">
        <f ca="1">"$"&amp;ROUND(IF($AU$80&gt;3,L23*L25*$AO$89,0),2)&amp;"/acre"</f>
        <v>$538.56/acre</v>
      </c>
      <c r="M27" s="233"/>
      <c r="N27" s="234" t="str">
        <f ca="1">"$"&amp;ROUND(IF($AV$80&gt;3,N23*N25*$AP$89,0),2)&amp;"/acre"</f>
        <v>$321.98/acre</v>
      </c>
      <c r="O27" s="6"/>
      <c r="P27" s="230" t="str">
        <f>"$"&amp;ROUND(IF($AU$80&gt;3,P23*P25*$AO$89,0),2)&amp;"/acre"</f>
        <v>$384/acre</v>
      </c>
      <c r="Q27" s="231"/>
      <c r="R27" s="232" t="str">
        <f ca="1">"$"&amp;ROUND(IF($AU$80&gt;3,R23*R25*$AO$89,0),2)&amp;"/acre"</f>
        <v>$538.56/acre</v>
      </c>
      <c r="S27" s="233"/>
      <c r="T27" s="234" t="str">
        <f ca="1">"$"&amp;ROUND(IF($AV$80&gt;3,T23*T25*$AP$89,0),2)&amp;"/acre"</f>
        <v>$321.98/acre</v>
      </c>
      <c r="V27" s="230" t="str">
        <f>"$"&amp;ROUND(IF($AV$80&gt;3,V23*V25*$AP$89,0),2)&amp;"/acre"</f>
        <v>$321.98/acre</v>
      </c>
      <c r="W27" s="442"/>
      <c r="X27" s="234" t="str">
        <f ca="1">"$"&amp;ROUND(IF($AV$80&gt;3,X23*X25*$AP$89,0),2)&amp;"/acre"</f>
        <v>$321.98/acre</v>
      </c>
      <c r="Z27" s="230" t="str">
        <f>"$"&amp;ROUND(IF($AV$80&gt;3,Z23*Z25*$AP$89,0),2)&amp;"/acre"</f>
        <v>$257.58/acre</v>
      </c>
      <c r="AA27" s="442"/>
      <c r="AB27" s="234" t="str">
        <f ca="1">"$"&amp;ROUND(IF($AV$80&gt;3,AB23*AB25*$AP$89,0),2)&amp;"/acre"</f>
        <v>$321.98/acre</v>
      </c>
      <c r="AN27" s="304"/>
    </row>
    <row r="28" spans="1:41" s="19" customFormat="1">
      <c r="A28" s="305"/>
      <c r="B28" s="306"/>
      <c r="C28" s="307" t="s">
        <v>175</v>
      </c>
      <c r="D28" s="21"/>
      <c r="E28" s="30"/>
      <c r="F28" s="21"/>
      <c r="G28" s="30"/>
      <c r="H28" s="308"/>
      <c r="I28" s="21"/>
      <c r="J28" s="235" t="str">
        <f>ROUND(IF($AU$80=1,$AO$84,IF($AU$80=3,J25,0))*J23,1)&amp;" bu/ac"</f>
        <v>0 bu/ac</v>
      </c>
      <c r="K28" s="236"/>
      <c r="L28" s="237" t="str">
        <f>ROUND(IF($AU$80=1,$AO$84,IF($AU$80=3,L24,0))*L23,1)&amp;" bu/ac"</f>
        <v>0 bu/ac</v>
      </c>
      <c r="M28" s="238"/>
      <c r="N28" s="239" t="str">
        <f>ROUND(IF($AV$80=1,$AO$84,IF($AV$80=3,N25,0))*N23,1)&amp;" bu/ac"</f>
        <v>0 bu/ac</v>
      </c>
      <c r="O28" s="238"/>
      <c r="P28" s="235" t="str">
        <f>ROUND(IF($AU$80=1,$AO$84,IF($AU$80=3,P24*0.6,0))*P23,0)&amp;" bu/ac"</f>
        <v>0 bu/ac</v>
      </c>
      <c r="Q28" s="236"/>
      <c r="R28" s="237" t="str">
        <f>ROUND(IF($AU$80=1,$AO$84,IF($AU$80=3,R25,0))*R23,1)&amp;" bu/ac"</f>
        <v>0 bu/ac</v>
      </c>
      <c r="S28" s="238"/>
      <c r="T28" s="239" t="str">
        <f>ROUND(IF($AV$80=1,$AO$84,IF($AV$80=3,T25,0))*T23,0)&amp;" bu/ac"</f>
        <v>0 bu/ac</v>
      </c>
      <c r="U28" s="443"/>
      <c r="V28" s="235" t="str">
        <f>ROUND(IF($AV$80=1,$AO$84,IF($AV$80=3,V25,0))*V23,0)&amp;" bu/ac"</f>
        <v>0 bu/ac</v>
      </c>
      <c r="W28" s="238"/>
      <c r="X28" s="239" t="str">
        <f>ROUND(IF($AV$80=1,$AO$84,IF($AV$80=3,X24,0))*X23,0)&amp;" bu/ac"</f>
        <v>0 bu/ac</v>
      </c>
      <c r="Y28" s="443"/>
      <c r="Z28" s="235" t="str">
        <f>ROUND(IF($AV$80=1,$AO$84,IF($AV$80=3,Z25,0))*Z23,0)&amp;" bu/ac"</f>
        <v>0 bu/ac</v>
      </c>
      <c r="AA28" s="238"/>
      <c r="AB28" s="239" t="str">
        <f>ROUND(IF($AV$80=1,$AO$84,IF($AV$80=3,AB25,0))*AB23,0)&amp;" bu/ac"</f>
        <v>0 bu/ac</v>
      </c>
      <c r="AJ28" s="21"/>
      <c r="AK28" s="21"/>
      <c r="AL28" s="42"/>
      <c r="AN28" s="289"/>
      <c r="AO28" s="42"/>
    </row>
    <row r="29" spans="1:41" s="19" customFormat="1">
      <c r="A29" s="305"/>
      <c r="B29" s="306"/>
      <c r="C29" s="307" t="s">
        <v>177</v>
      </c>
      <c r="D29" s="21"/>
      <c r="E29" s="30"/>
      <c r="F29" s="296"/>
      <c r="G29" s="30"/>
      <c r="H29" s="308"/>
      <c r="I29" s="21"/>
      <c r="J29" s="240" t="str">
        <f>"$"&amp;ROUND(IF($AU$80=1,$AP$84,IF($AU$80=3,J22,0))*$AO$89,2)&amp;"/bushel"</f>
        <v>$0/bushel</v>
      </c>
      <c r="K29" s="241"/>
      <c r="L29" s="242" t="str">
        <f>"$"&amp;ROUND(IF($AU$80=1,$AP$84,IF($AU$80=3,L22,0))*$AO$89,2)&amp;"/bushel"</f>
        <v>$0/bushel</v>
      </c>
      <c r="M29" s="243"/>
      <c r="N29" s="244" t="str">
        <f>"$"&amp;ROUND(IF($AV$80=1,$AP$84,IF($AV$80=3,N22,0))*$AP$89,2)&amp;"/bushel"</f>
        <v>$0/bushel</v>
      </c>
      <c r="O29" s="21"/>
      <c r="P29" s="240" t="str">
        <f>"$"&amp;ROUND(IF($AU$80=1,$AP$84,IF($AU$80=3,P22,0))*$AO$89,2)&amp;"/bushel"</f>
        <v>$0/bushel</v>
      </c>
      <c r="Q29" s="241"/>
      <c r="R29" s="242" t="str">
        <f>"$"&amp;ROUND(IF($AU$80=1,$AP$84,IF($AU$80=3,R22,0))*$AO$89,2)&amp;"/bushel"</f>
        <v>$0/bushel</v>
      </c>
      <c r="S29" s="243"/>
      <c r="T29" s="244" t="str">
        <f>"$"&amp;ROUND(IF($AV$80=1,$AP$84,IF($AV$80=3,T22,0))*$AP$89,2)&amp;"/bushel"</f>
        <v>$0/bushel</v>
      </c>
      <c r="V29" s="240" t="str">
        <f>"$"&amp;ROUND(IF($AV$80=1,$AP$84,IF($AV$80=3,V22,0))*$AP$89,2)&amp;"/bushel"</f>
        <v>$0/bushel</v>
      </c>
      <c r="W29" s="444"/>
      <c r="X29" s="244" t="str">
        <f>"$"&amp;ROUND(IF($AV$80=1,$AP$84,IF($AV$80=3,X22,0))*$AP$89,2)&amp;"/bushel"</f>
        <v>$0/bushel</v>
      </c>
      <c r="Z29" s="240" t="str">
        <f>"$"&amp;ROUND(IF($AV$80=1,$AP$84,IF($AV$80=3,Z22,0))*$AP$89,2)&amp;"/bushel"</f>
        <v>$0/bushel</v>
      </c>
      <c r="AA29" s="444"/>
      <c r="AB29" s="244" t="str">
        <f>"$"&amp;ROUND(IF($AV$80=1,$AP$84,IF($AV$80=3,AB22,0))*$AP$89,2)&amp;"/bushel"</f>
        <v>$0/bushel</v>
      </c>
    </row>
    <row r="30" spans="1:41" s="2" customFormat="1" ht="23.25" customHeight="1" thickBot="1">
      <c r="A30" s="252"/>
      <c r="B30" s="254"/>
      <c r="C30" s="512" t="s">
        <v>29</v>
      </c>
      <c r="D30" s="513"/>
      <c r="E30" s="88"/>
      <c r="F30" s="6"/>
      <c r="G30" s="50"/>
      <c r="H30" s="303"/>
      <c r="I30" s="8"/>
      <c r="J30" s="245"/>
      <c r="K30" s="67"/>
      <c r="L30" s="246"/>
      <c r="M30" s="247"/>
      <c r="N30" s="248"/>
      <c r="O30" s="8"/>
      <c r="P30" s="245"/>
      <c r="Q30" s="67"/>
      <c r="R30" s="246"/>
      <c r="S30" s="247"/>
      <c r="T30" s="248"/>
      <c r="V30" s="245"/>
      <c r="W30" s="8"/>
      <c r="X30" s="248"/>
      <c r="Z30" s="245"/>
      <c r="AA30" s="8"/>
      <c r="AB30" s="248"/>
    </row>
    <row r="31" spans="1:41" s="2" customFormat="1" ht="15.75" thickTop="1">
      <c r="A31" s="272"/>
      <c r="B31" s="273"/>
      <c r="C31" s="204" t="s">
        <v>17</v>
      </c>
      <c r="D31" s="205"/>
      <c r="E31" s="84"/>
      <c r="F31" s="8"/>
      <c r="G31" s="31"/>
      <c r="H31" s="12"/>
      <c r="I31" s="9"/>
      <c r="J31" s="97"/>
      <c r="K31" s="67"/>
      <c r="L31" s="95"/>
      <c r="M31" s="37"/>
      <c r="N31" s="309">
        <v>12</v>
      </c>
      <c r="O31" s="8"/>
      <c r="P31" s="428"/>
      <c r="Q31" s="67"/>
      <c r="R31" s="429"/>
      <c r="S31" s="37"/>
      <c r="T31" s="94">
        <v>12</v>
      </c>
      <c r="V31" s="97"/>
      <c r="W31" s="45"/>
      <c r="X31" s="309"/>
      <c r="Z31" s="97"/>
      <c r="AA31" s="45"/>
      <c r="AB31" s="309"/>
    </row>
    <row r="32" spans="1:41" s="2" customFormat="1" ht="12.75" customHeight="1">
      <c r="A32" s="272"/>
      <c r="B32" s="273"/>
      <c r="C32" s="73" t="s">
        <v>23</v>
      </c>
      <c r="D32" s="46"/>
      <c r="E32" s="77"/>
      <c r="F32" s="205"/>
      <c r="G32" s="84"/>
      <c r="H32" s="12"/>
      <c r="I32" s="8"/>
      <c r="J32" s="310"/>
      <c r="K32" s="67"/>
      <c r="M32" s="247"/>
      <c r="N32" s="311"/>
      <c r="O32" s="8"/>
      <c r="P32" s="310"/>
      <c r="Q32" s="67"/>
      <c r="S32" s="247"/>
      <c r="T32" s="311"/>
      <c r="V32" s="310"/>
      <c r="W32" s="8"/>
      <c r="X32" s="311"/>
      <c r="Z32" s="310"/>
      <c r="AA32" s="8"/>
      <c r="AB32" s="311"/>
    </row>
    <row r="33" spans="1:31" s="2" customFormat="1" ht="12.75" customHeight="1">
      <c r="A33" s="272"/>
      <c r="B33" s="273"/>
      <c r="C33" s="34" t="s">
        <v>181</v>
      </c>
      <c r="D33" s="173"/>
      <c r="E33" s="84"/>
      <c r="F33" s="8"/>
      <c r="G33" s="31"/>
      <c r="H33" s="12"/>
      <c r="I33" s="8"/>
      <c r="J33" s="312"/>
      <c r="K33" s="313"/>
      <c r="L33" s="314">
        <v>63</v>
      </c>
      <c r="M33" s="37"/>
      <c r="N33" s="315">
        <v>39</v>
      </c>
      <c r="O33" s="11"/>
      <c r="P33" s="460">
        <v>5</v>
      </c>
      <c r="Q33" s="313"/>
      <c r="R33" s="433">
        <v>63</v>
      </c>
      <c r="S33" s="37"/>
      <c r="T33" s="102">
        <v>39</v>
      </c>
      <c r="U33" s="31"/>
      <c r="V33" s="312"/>
      <c r="W33" s="62"/>
      <c r="X33" s="315">
        <v>39</v>
      </c>
      <c r="Y33" s="31"/>
      <c r="Z33" s="312">
        <v>5</v>
      </c>
      <c r="AA33" s="62"/>
      <c r="AB33" s="315">
        <v>39</v>
      </c>
      <c r="AD33" s="291"/>
    </row>
    <row r="34" spans="1:31" s="2" customFormat="1" ht="15">
      <c r="A34" s="272"/>
      <c r="B34" s="273"/>
      <c r="C34" s="204" t="s">
        <v>2</v>
      </c>
      <c r="D34" s="205"/>
      <c r="E34" s="84"/>
      <c r="F34" s="8"/>
      <c r="G34" s="31"/>
      <c r="H34" s="12"/>
      <c r="I34" s="8"/>
      <c r="J34" s="316"/>
      <c r="K34" s="313"/>
      <c r="L34" s="95"/>
      <c r="M34" s="37"/>
      <c r="N34" s="309"/>
      <c r="O34" s="11"/>
      <c r="P34" s="99"/>
      <c r="Q34" s="313"/>
      <c r="R34" s="429"/>
      <c r="S34" s="37"/>
      <c r="T34" s="94"/>
      <c r="U34" s="31"/>
      <c r="V34" s="316"/>
      <c r="W34" s="148"/>
      <c r="X34" s="309"/>
      <c r="Y34" s="31"/>
      <c r="Z34" s="316"/>
      <c r="AA34" s="148"/>
      <c r="AB34" s="309"/>
      <c r="AD34" s="291"/>
    </row>
    <row r="35" spans="1:31" s="2" customFormat="1" ht="15">
      <c r="A35" s="272"/>
      <c r="B35" s="273"/>
      <c r="C35" s="49" t="s">
        <v>185</v>
      </c>
      <c r="D35" s="205"/>
      <c r="E35" s="84"/>
      <c r="F35" s="8"/>
      <c r="G35" s="31"/>
      <c r="H35" s="12"/>
      <c r="I35" s="8"/>
      <c r="J35" s="316"/>
      <c r="K35" s="313"/>
      <c r="L35" s="95">
        <v>15</v>
      </c>
      <c r="M35" s="37"/>
      <c r="N35" s="309">
        <v>16</v>
      </c>
      <c r="O35" s="11"/>
      <c r="P35" s="99"/>
      <c r="Q35" s="313"/>
      <c r="R35" s="429">
        <v>15</v>
      </c>
      <c r="S35" s="37"/>
      <c r="T35" s="94"/>
      <c r="U35" s="31"/>
      <c r="V35" s="316"/>
      <c r="W35" s="148"/>
      <c r="X35" s="309">
        <v>13</v>
      </c>
      <c r="Y35" s="31"/>
      <c r="Z35" s="316"/>
      <c r="AA35" s="148"/>
      <c r="AB35" s="309">
        <v>16</v>
      </c>
      <c r="AD35" s="291"/>
    </row>
    <row r="36" spans="1:31" s="2" customFormat="1" ht="15">
      <c r="A36" s="272"/>
      <c r="B36" s="269"/>
      <c r="C36" s="204" t="s">
        <v>3</v>
      </c>
      <c r="D36" s="205"/>
      <c r="E36" s="84"/>
      <c r="F36" s="8"/>
      <c r="G36" s="31"/>
      <c r="H36" s="12"/>
      <c r="I36" s="8"/>
      <c r="J36" s="316"/>
      <c r="K36" s="313"/>
      <c r="L36" s="95">
        <v>3</v>
      </c>
      <c r="M36" s="37"/>
      <c r="N36" s="309">
        <v>5</v>
      </c>
      <c r="O36" s="11"/>
      <c r="P36" s="99">
        <v>2</v>
      </c>
      <c r="Q36" s="313"/>
      <c r="R36" s="429">
        <v>3</v>
      </c>
      <c r="S36" s="37"/>
      <c r="T36" s="94"/>
      <c r="U36" s="31"/>
      <c r="V36" s="316"/>
      <c r="W36" s="148"/>
      <c r="X36" s="309">
        <v>3</v>
      </c>
      <c r="Y36" s="31"/>
      <c r="Z36" s="316">
        <v>2</v>
      </c>
      <c r="AA36" s="148"/>
      <c r="AB36" s="309">
        <v>5</v>
      </c>
      <c r="AD36" s="291"/>
    </row>
    <row r="37" spans="1:31" s="2" customFormat="1" ht="15">
      <c r="A37" s="272"/>
      <c r="B37" s="269"/>
      <c r="C37" s="204" t="s">
        <v>4</v>
      </c>
      <c r="D37" s="205"/>
      <c r="E37" s="84"/>
      <c r="F37" s="8"/>
      <c r="G37" s="31"/>
      <c r="H37" s="12"/>
      <c r="I37" s="8"/>
      <c r="J37" s="96"/>
      <c r="K37" s="39"/>
      <c r="L37" s="95">
        <v>2</v>
      </c>
      <c r="M37" s="37"/>
      <c r="N37" s="309">
        <v>3</v>
      </c>
      <c r="O37" s="10"/>
      <c r="P37" s="99">
        <v>2</v>
      </c>
      <c r="Q37" s="39"/>
      <c r="R37" s="429">
        <v>2</v>
      </c>
      <c r="S37" s="37"/>
      <c r="T37" s="94"/>
      <c r="U37" s="31"/>
      <c r="V37" s="96"/>
      <c r="W37" s="45"/>
      <c r="X37" s="309">
        <v>2</v>
      </c>
      <c r="Y37" s="31"/>
      <c r="Z37" s="96">
        <v>2</v>
      </c>
      <c r="AA37" s="45"/>
      <c r="AB37" s="309">
        <v>3</v>
      </c>
      <c r="AD37" s="291"/>
    </row>
    <row r="38" spans="1:31" s="2" customFormat="1" ht="15">
      <c r="A38" s="272"/>
      <c r="B38" s="269"/>
      <c r="C38" s="506" t="s">
        <v>16</v>
      </c>
      <c r="D38" s="507"/>
      <c r="E38" s="507"/>
      <c r="F38" s="507"/>
      <c r="G38" s="507"/>
      <c r="H38" s="508"/>
      <c r="I38" s="8"/>
      <c r="J38" s="97"/>
      <c r="K38" s="67"/>
      <c r="L38" s="95"/>
      <c r="M38" s="37"/>
      <c r="N38" s="309"/>
      <c r="O38" s="31"/>
      <c r="P38" s="99"/>
      <c r="Q38" s="67"/>
      <c r="R38" s="429"/>
      <c r="S38" s="37"/>
      <c r="T38" s="94"/>
      <c r="U38" s="31"/>
      <c r="V38" s="97"/>
      <c r="W38" s="37"/>
      <c r="X38" s="309"/>
      <c r="Y38" s="31"/>
      <c r="Z38" s="97"/>
      <c r="AA38" s="37"/>
      <c r="AB38" s="309"/>
      <c r="AD38" s="291"/>
    </row>
    <row r="39" spans="1:31" s="319" customFormat="1" ht="15">
      <c r="A39" s="272"/>
      <c r="B39" s="273"/>
      <c r="C39" s="76" t="s">
        <v>24</v>
      </c>
      <c r="D39" s="85" t="s">
        <v>36</v>
      </c>
      <c r="E39" s="85"/>
      <c r="F39" s="317" t="s">
        <v>35</v>
      </c>
      <c r="G39" s="317"/>
      <c r="H39" s="100" t="s">
        <v>1</v>
      </c>
      <c r="I39" s="31"/>
      <c r="J39" s="318"/>
      <c r="K39" s="39"/>
      <c r="L39" s="101"/>
      <c r="M39" s="59"/>
      <c r="N39" s="311"/>
      <c r="O39" s="10"/>
      <c r="P39" s="446"/>
      <c r="Q39" s="39"/>
      <c r="R39" s="101"/>
      <c r="S39" s="59"/>
      <c r="T39" s="311"/>
      <c r="U39" s="31"/>
      <c r="V39" s="318"/>
      <c r="W39" s="148"/>
      <c r="X39" s="311"/>
      <c r="Y39" s="10"/>
      <c r="Z39" s="318"/>
      <c r="AA39" s="148"/>
      <c r="AB39" s="311"/>
      <c r="AD39" s="320"/>
    </row>
    <row r="40" spans="1:31" s="2" customFormat="1" ht="15">
      <c r="A40" s="272"/>
      <c r="B40" s="269"/>
      <c r="C40" s="20" t="s">
        <v>188</v>
      </c>
      <c r="D40" s="87">
        <v>0.25</v>
      </c>
      <c r="E40" s="322"/>
      <c r="F40" s="87">
        <v>0.3</v>
      </c>
      <c r="G40" s="322"/>
      <c r="H40" s="63">
        <v>0.05</v>
      </c>
      <c r="I40" s="8"/>
      <c r="J40" s="98">
        <f>D40*J17</f>
        <v>12.5</v>
      </c>
      <c r="K40" s="59"/>
      <c r="L40" s="95">
        <f ca="1">F40*L17</f>
        <v>41.295763635355975</v>
      </c>
      <c r="M40" s="37"/>
      <c r="N40" s="309">
        <f ca="1">H40*N17</f>
        <v>2.3049319726414979</v>
      </c>
      <c r="O40" s="14"/>
      <c r="P40" s="230"/>
      <c r="Q40" s="231"/>
      <c r="R40" s="232">
        <f ca="1">F40*R17</f>
        <v>41.295763635355975</v>
      </c>
      <c r="S40" s="233"/>
      <c r="T40" s="234">
        <f ca="1">H40*T17</f>
        <v>2.3049319726414979</v>
      </c>
      <c r="V40" s="98">
        <f>H40*V17</f>
        <v>0</v>
      </c>
      <c r="W40" s="62"/>
      <c r="X40" s="309">
        <f ca="1">H40*X17</f>
        <v>2.3049319726414979</v>
      </c>
      <c r="Z40" s="98"/>
      <c r="AA40" s="62"/>
      <c r="AB40" s="309">
        <f ca="1">H40*AB17</f>
        <v>2.3049319726414979</v>
      </c>
      <c r="AD40" s="291"/>
    </row>
    <row r="41" spans="1:31" s="2" customFormat="1" ht="15">
      <c r="A41" s="272"/>
      <c r="B41" s="269"/>
      <c r="C41" s="204" t="s">
        <v>3</v>
      </c>
      <c r="D41" s="205"/>
      <c r="E41" s="84"/>
      <c r="F41" s="8"/>
      <c r="G41" s="31"/>
      <c r="H41" s="12"/>
      <c r="I41" s="8"/>
      <c r="J41" s="98">
        <v>11</v>
      </c>
      <c r="K41" s="313"/>
      <c r="L41" s="95">
        <v>11</v>
      </c>
      <c r="M41" s="37"/>
      <c r="N41" s="309">
        <v>6</v>
      </c>
      <c r="O41" s="11"/>
      <c r="P41" s="99"/>
      <c r="Q41" s="313"/>
      <c r="R41" s="429">
        <v>6</v>
      </c>
      <c r="S41" s="37"/>
      <c r="T41" s="94"/>
      <c r="U41" s="31"/>
      <c r="V41" s="98">
        <v>6</v>
      </c>
      <c r="W41" s="148"/>
      <c r="X41" s="309">
        <v>6</v>
      </c>
      <c r="Y41" s="10"/>
      <c r="Z41" s="98"/>
      <c r="AA41" s="148"/>
      <c r="AB41" s="309">
        <v>6</v>
      </c>
      <c r="AD41" s="291"/>
    </row>
    <row r="42" spans="1:31" s="2" customFormat="1" ht="15">
      <c r="A42" s="272"/>
      <c r="B42" s="269"/>
      <c r="C42" s="204" t="s">
        <v>16</v>
      </c>
      <c r="D42" s="8"/>
      <c r="E42" s="31"/>
      <c r="F42" s="8"/>
      <c r="G42" s="31"/>
      <c r="H42" s="12"/>
      <c r="I42" s="8"/>
      <c r="J42" s="98"/>
      <c r="K42" s="313"/>
      <c r="L42" s="95"/>
      <c r="M42" s="37"/>
      <c r="N42" s="309"/>
      <c r="O42" s="11"/>
      <c r="P42" s="99"/>
      <c r="Q42" s="313"/>
      <c r="R42" s="429"/>
      <c r="S42" s="37"/>
      <c r="T42" s="94"/>
      <c r="U42" s="31"/>
      <c r="V42" s="98"/>
      <c r="W42" s="37"/>
      <c r="X42" s="309"/>
      <c r="Y42" s="10"/>
      <c r="Z42" s="98"/>
      <c r="AA42" s="37"/>
      <c r="AB42" s="309"/>
      <c r="AD42" s="291"/>
    </row>
    <row r="43" spans="1:31" s="330" customFormat="1" ht="12.75" customHeight="1">
      <c r="A43" s="323"/>
      <c r="B43" s="324"/>
      <c r="C43" s="3" t="s">
        <v>4</v>
      </c>
      <c r="D43" s="8"/>
      <c r="E43" s="31"/>
      <c r="F43" s="325"/>
      <c r="G43" s="326"/>
      <c r="H43" s="327"/>
      <c r="I43" s="108"/>
      <c r="J43" s="75">
        <v>15</v>
      </c>
      <c r="K43" s="68"/>
      <c r="L43" s="328">
        <v>15</v>
      </c>
      <c r="M43" s="37"/>
      <c r="N43" s="329">
        <v>10</v>
      </c>
      <c r="O43" s="38"/>
      <c r="P43" s="432"/>
      <c r="Q43" s="68"/>
      <c r="R43" s="434">
        <v>15</v>
      </c>
      <c r="S43" s="37"/>
      <c r="T43" s="66"/>
      <c r="U43" s="187"/>
      <c r="V43" s="186">
        <v>10</v>
      </c>
      <c r="W43" s="37"/>
      <c r="X43" s="447">
        <v>10</v>
      </c>
      <c r="Y43" s="41"/>
      <c r="Z43" s="75"/>
      <c r="AA43" s="37"/>
      <c r="AB43" s="447">
        <v>10</v>
      </c>
      <c r="AD43" s="291"/>
      <c r="AE43" s="2"/>
    </row>
    <row r="44" spans="1:31" s="338" customFormat="1" ht="15.75" thickBot="1">
      <c r="A44" s="331"/>
      <c r="B44" s="332"/>
      <c r="C44" s="152" t="s">
        <v>21</v>
      </c>
      <c r="D44" s="333"/>
      <c r="E44" s="334"/>
      <c r="F44" s="335"/>
      <c r="G44" s="336"/>
      <c r="H44" s="337"/>
      <c r="I44" s="143"/>
      <c r="J44" s="153">
        <f>SUM(J31:J43)</f>
        <v>38.5</v>
      </c>
      <c r="K44" s="154"/>
      <c r="L44" s="110">
        <f ca="1">SUM(L31:L43)</f>
        <v>150.29576363535597</v>
      </c>
      <c r="M44" s="154"/>
      <c r="N44" s="107">
        <f ca="1">SUM(N31:N43)</f>
        <v>93.304931972641498</v>
      </c>
      <c r="O44" s="154"/>
      <c r="P44" s="153">
        <f>SUM(P31:P43)</f>
        <v>9</v>
      </c>
      <c r="Q44" s="154"/>
      <c r="R44" s="110">
        <f ca="1">SUM(R31:R43)</f>
        <v>145.29576363535597</v>
      </c>
      <c r="S44" s="154"/>
      <c r="T44" s="107">
        <f ca="1">SUM(T31:T43)</f>
        <v>53.304931972641498</v>
      </c>
      <c r="U44" s="141"/>
      <c r="V44" s="153">
        <f>SUM(V33:V43)</f>
        <v>16</v>
      </c>
      <c r="W44" s="60"/>
      <c r="X44" s="107">
        <f ca="1">SUM(X33:X43)</f>
        <v>75.304931972641498</v>
      </c>
      <c r="Y44" s="155"/>
      <c r="Z44" s="153">
        <f>SUM(Z33:Z43)</f>
        <v>9</v>
      </c>
      <c r="AA44" s="60"/>
      <c r="AB44" s="107">
        <f ca="1">SUM(AB33:AB43)</f>
        <v>81.304931972641498</v>
      </c>
    </row>
    <row r="45" spans="1:31" s="2" customFormat="1" ht="13.5" thickTop="1">
      <c r="A45" s="272"/>
      <c r="B45" s="269"/>
      <c r="C45" s="339"/>
      <c r="D45" s="325"/>
      <c r="E45" s="326"/>
      <c r="F45" s="8"/>
      <c r="G45" s="31"/>
      <c r="H45" s="12"/>
      <c r="I45" s="8"/>
      <c r="J45" s="57"/>
      <c r="K45" s="39"/>
      <c r="L45" s="340"/>
      <c r="M45" s="341"/>
      <c r="N45" s="342"/>
      <c r="O45" s="39"/>
      <c r="P45" s="57"/>
      <c r="Q45" s="39"/>
      <c r="R45" s="340"/>
      <c r="S45" s="341"/>
      <c r="T45" s="342"/>
      <c r="U45" s="183"/>
      <c r="V45" s="182"/>
      <c r="W45" s="39"/>
      <c r="X45" s="342"/>
      <c r="Y45" s="31"/>
      <c r="Z45" s="57"/>
      <c r="AA45" s="39"/>
      <c r="AB45" s="342"/>
      <c r="AD45" s="291"/>
    </row>
    <row r="46" spans="1:31" s="2" customFormat="1">
      <c r="A46" s="272"/>
      <c r="B46" s="269"/>
      <c r="C46" s="3" t="s">
        <v>20</v>
      </c>
      <c r="D46" s="8"/>
      <c r="E46" s="31"/>
      <c r="F46" s="8"/>
      <c r="G46" s="31"/>
      <c r="H46" s="12"/>
      <c r="I46" s="8"/>
      <c r="J46" s="131">
        <f>J17*$F9</f>
        <v>200</v>
      </c>
      <c r="K46" s="78"/>
      <c r="L46" s="132">
        <f ca="1">L17*$F9</f>
        <v>550.61018180474639</v>
      </c>
      <c r="M46" s="133"/>
      <c r="N46" s="79">
        <f ca="1">N17*$H9</f>
        <v>460.98639452829957</v>
      </c>
      <c r="O46" s="133"/>
      <c r="P46" s="131"/>
      <c r="Q46" s="78"/>
      <c r="R46" s="132">
        <f ca="1">R17*F9</f>
        <v>550.61018180474639</v>
      </c>
      <c r="S46" s="133"/>
      <c r="T46" s="79">
        <f ca="1">T17*H9</f>
        <v>460.98639452829957</v>
      </c>
      <c r="V46" s="131">
        <f>V17*$H9</f>
        <v>0</v>
      </c>
      <c r="W46" s="14"/>
      <c r="X46" s="79">
        <f ca="1">X17*H9</f>
        <v>460.98639452829957</v>
      </c>
      <c r="Z46" s="131"/>
      <c r="AA46" s="14"/>
      <c r="AB46" s="79">
        <f ca="1">AB17*H9</f>
        <v>460.98639452829957</v>
      </c>
      <c r="AD46" s="291"/>
    </row>
    <row r="47" spans="1:31" s="2" customFormat="1">
      <c r="A47" s="272"/>
      <c r="B47" s="269"/>
      <c r="C47" s="3" t="s">
        <v>7</v>
      </c>
      <c r="D47" s="8"/>
      <c r="E47" s="31"/>
      <c r="F47" s="8"/>
      <c r="G47" s="31"/>
      <c r="H47" s="12"/>
      <c r="I47" s="8"/>
      <c r="J47" s="131">
        <f>CHOOSE($AU$80,J82,0,J84,J85,J86)</f>
        <v>344</v>
      </c>
      <c r="K47" s="78"/>
      <c r="L47" s="132">
        <f ca="1">CHOOSE($AU$80,L82,0,L84,L85,L86)</f>
        <v>0</v>
      </c>
      <c r="M47" s="133"/>
      <c r="N47" s="79">
        <f ca="1">IF(AV80=2,J47,IF(0.65*J47&gt;CHOOSE($AV$80,N82,N83,N84,N85,N86),J47,0.35*J47+IF(AU80&gt;2,0.65*F21,0)))</f>
        <v>344</v>
      </c>
      <c r="O47" s="62"/>
      <c r="P47" s="131">
        <f ca="1">IF(F15&gt;AO96,F20*F23*F24*AO89*IF(AU80=3,F22,1),"too early")</f>
        <v>326.39999999999998</v>
      </c>
      <c r="Q47" s="78"/>
      <c r="R47" s="132">
        <f ca="1">CHOOSE($AU$80,R82,0,R84,R85,R86)</f>
        <v>0</v>
      </c>
      <c r="S47" s="133"/>
      <c r="T47" s="79">
        <f ca="1">IF(T15&gt;AO96+AO97,0.35*P47+IF(T31&gt;0,0.65*F21,0),0)</f>
        <v>0</v>
      </c>
      <c r="V47" s="131"/>
      <c r="W47" s="8"/>
      <c r="X47" s="79"/>
      <c r="Z47" s="131"/>
      <c r="AA47" s="8"/>
      <c r="AB47" s="79"/>
      <c r="AD47" s="289"/>
    </row>
    <row r="48" spans="1:31" s="2" customFormat="1">
      <c r="A48" s="272"/>
      <c r="B48" s="269"/>
      <c r="C48" s="3" t="s">
        <v>6</v>
      </c>
      <c r="D48" s="8"/>
      <c r="E48" s="31"/>
      <c r="F48" s="8"/>
      <c r="G48" s="31"/>
      <c r="H48" s="12"/>
      <c r="I48" s="8"/>
      <c r="J48" s="131"/>
      <c r="K48" s="78"/>
      <c r="L48" s="132"/>
      <c r="M48" s="133"/>
      <c r="N48" s="79">
        <f ca="1">IF(N31&gt;0,IF(CHOOSE($AV$80,N82,N83,N84,N85,N86)&gt;0.65*J47,CHOOSE($AV$80,N82,N83,N84,N85,N86),0),0)</f>
        <v>0</v>
      </c>
      <c r="O48" s="133"/>
      <c r="P48" s="131"/>
      <c r="Q48" s="78"/>
      <c r="R48" s="132"/>
      <c r="S48" s="133"/>
      <c r="T48" s="79">
        <f ca="1">IF(T31&gt;0,CHOOSE($AV$80,T82,T83,T84,T85,T86),0)</f>
        <v>0</v>
      </c>
      <c r="V48" s="131">
        <f>CHOOSE($AV$80,V82,V83,V84,V85,V86)</f>
        <v>337.5</v>
      </c>
      <c r="W48" s="14"/>
      <c r="X48" s="79">
        <f ca="1">CHOOSE($AV$80,X82,X83,X84,X85,X86)</f>
        <v>0</v>
      </c>
      <c r="Z48" s="131" t="str">
        <f ca="1">IF(H15&gt;'Corn Prevented Planting'!AP96,0.6*H23*H24*AP89*IF(AV80=3,H22,1),"too early")</f>
        <v>too early</v>
      </c>
      <c r="AA48" s="14"/>
      <c r="AB48" s="79">
        <f ca="1">CHOOSE($AV$80,AB82,AB83,AB84,AB85,AB86)</f>
        <v>0</v>
      </c>
      <c r="AD48" s="291"/>
    </row>
    <row r="49" spans="1:31" s="343" customFormat="1" ht="15">
      <c r="A49" s="305"/>
      <c r="B49" s="19"/>
      <c r="C49" s="89" t="s">
        <v>8</v>
      </c>
      <c r="D49" s="90"/>
      <c r="E49" s="91"/>
      <c r="F49" s="90"/>
      <c r="G49" s="91"/>
      <c r="H49" s="92"/>
      <c r="I49" s="21"/>
      <c r="J49" s="134"/>
      <c r="K49" s="135"/>
      <c r="L49" s="136">
        <f>IF(AU80&gt;2,IF(F14&lt;0.9*F23,MIN(SUM(L33:L38),8*AO89*IF(AU80=3,F22,1))),0)</f>
        <v>32</v>
      </c>
      <c r="M49" s="137"/>
      <c r="N49" s="138"/>
      <c r="O49" s="139"/>
      <c r="P49" s="134"/>
      <c r="Q49" s="135"/>
      <c r="R49" s="136"/>
      <c r="S49" s="137"/>
      <c r="T49" s="138"/>
      <c r="U49" s="13"/>
      <c r="V49" s="150"/>
      <c r="W49" s="147"/>
      <c r="X49" s="151">
        <f>IF(AV80&gt;2,IF(H14&lt;0.9*H23,MIN(SUM(N33:N38),3*AP89*IF(AV80=3,H22,1)),0),0)</f>
        <v>28.619999999999997</v>
      </c>
      <c r="Y49" s="13"/>
      <c r="Z49" s="150"/>
      <c r="AA49" s="147"/>
      <c r="AB49" s="151"/>
      <c r="AD49" s="291"/>
      <c r="AE49" s="2"/>
    </row>
    <row r="50" spans="1:31" s="343" customFormat="1" ht="15.75" thickBot="1">
      <c r="A50" s="272"/>
      <c r="B50" s="269"/>
      <c r="C50" s="105" t="s">
        <v>22</v>
      </c>
      <c r="D50" s="103"/>
      <c r="E50" s="104"/>
      <c r="F50" s="103"/>
      <c r="G50" s="104"/>
      <c r="H50" s="106"/>
      <c r="I50" s="109"/>
      <c r="J50" s="140">
        <f>SUM(J46:J49)</f>
        <v>544</v>
      </c>
      <c r="K50" s="141"/>
      <c r="L50" s="142">
        <f t="shared" ref="L50:X50" ca="1" si="1">SUM(L46:L49)</f>
        <v>582.61018180474639</v>
      </c>
      <c r="M50" s="143"/>
      <c r="N50" s="144">
        <f t="shared" ca="1" si="1"/>
        <v>804.98639452829957</v>
      </c>
      <c r="O50" s="143"/>
      <c r="P50" s="140">
        <f ca="1">IF(P47="too early",NA(),SUM(P46:P49))</f>
        <v>326.39999999999998</v>
      </c>
      <c r="Q50" s="141"/>
      <c r="R50" s="142">
        <f t="shared" ca="1" si="1"/>
        <v>550.61018180474639</v>
      </c>
      <c r="S50" s="143"/>
      <c r="T50" s="144">
        <f t="shared" ca="1" si="1"/>
        <v>460.98639452829957</v>
      </c>
      <c r="U50" s="184"/>
      <c r="V50" s="142">
        <f t="shared" si="1"/>
        <v>337.5</v>
      </c>
      <c r="W50" s="74"/>
      <c r="X50" s="144">
        <f t="shared" ca="1" si="1"/>
        <v>489.60639452829957</v>
      </c>
      <c r="Y50" s="74"/>
      <c r="Z50" s="140" t="e">
        <f ca="1">IF(Z48="too early",NA(),SUM(Z46:Z49))</f>
        <v>#N/A</v>
      </c>
      <c r="AA50" s="74"/>
      <c r="AB50" s="144">
        <f ca="1">SUM(AB46:AB49)</f>
        <v>460.98639452829957</v>
      </c>
      <c r="AD50" s="291"/>
      <c r="AE50" s="2"/>
    </row>
    <row r="51" spans="1:31" s="338" customFormat="1" ht="16.5" thickTop="1" thickBot="1">
      <c r="A51" s="331"/>
      <c r="B51" s="332"/>
      <c r="C51" s="156" t="s">
        <v>28</v>
      </c>
      <c r="D51" s="157"/>
      <c r="E51" s="158"/>
      <c r="F51" s="157"/>
      <c r="G51" s="158"/>
      <c r="H51" s="159"/>
      <c r="I51" s="143"/>
      <c r="J51" s="160">
        <f ca="1">IF(F15&lt;AO98,NA(),J50-J44)</f>
        <v>505.5</v>
      </c>
      <c r="K51" s="161"/>
      <c r="L51" s="162">
        <f ca="1">IF(F15&lt;AO98,NA(),L50-L44)</f>
        <v>432.31441816939042</v>
      </c>
      <c r="M51" s="163"/>
      <c r="N51" s="164">
        <f ca="1">IF(H15&lt;AP98,NA(),N50-N44)</f>
        <v>711.68146255565807</v>
      </c>
      <c r="O51" s="143"/>
      <c r="P51" s="160">
        <f ca="1">P50-P44</f>
        <v>317.39999999999998</v>
      </c>
      <c r="Q51" s="161"/>
      <c r="R51" s="162">
        <f ca="1">IF(F15&lt;AO98,NA(),R50-R44)</f>
        <v>405.31441816939042</v>
      </c>
      <c r="S51" s="163"/>
      <c r="T51" s="164">
        <f ca="1">IF(H15&lt;AP98,NA(),T50-T44)</f>
        <v>407.68146255565807</v>
      </c>
      <c r="U51" s="185"/>
      <c r="V51" s="162">
        <f>V50-V44</f>
        <v>321.5</v>
      </c>
      <c r="W51" s="165"/>
      <c r="X51" s="164">
        <f ca="1">IF(H15&lt;AP98,NA(),X50-X44)</f>
        <v>414.30146255565808</v>
      </c>
      <c r="Y51" s="165"/>
      <c r="Z51" s="160" t="e">
        <f ca="1">Z50-Z44</f>
        <v>#N/A</v>
      </c>
      <c r="AA51" s="165"/>
      <c r="AB51" s="164">
        <f ca="1">IF(H15&lt;AP98,NA(),AB50-AB44)</f>
        <v>379.68146255565807</v>
      </c>
      <c r="AD51" s="62"/>
    </row>
    <row r="52" spans="1:31" s="2" customFormat="1">
      <c r="A52" s="272"/>
      <c r="B52" s="269"/>
      <c r="C52" s="43"/>
      <c r="D52" s="24"/>
      <c r="E52" s="86"/>
      <c r="F52" s="8"/>
      <c r="G52" s="31"/>
      <c r="H52" s="8"/>
      <c r="I52" s="8"/>
      <c r="J52" s="44"/>
      <c r="K52" s="61"/>
      <c r="L52" s="44"/>
      <c r="M52" s="44"/>
      <c r="N52" s="16"/>
      <c r="O52" s="16"/>
      <c r="P52" s="16"/>
      <c r="Q52" s="16"/>
      <c r="R52" s="16"/>
      <c r="S52" s="16"/>
      <c r="T52" s="16"/>
      <c r="U52" s="24"/>
      <c r="V52" s="16"/>
      <c r="W52" s="16"/>
      <c r="X52" s="16"/>
      <c r="Y52" s="15"/>
      <c r="Z52" s="16"/>
      <c r="AA52" s="16"/>
      <c r="AB52" s="16"/>
      <c r="AD52" s="291"/>
    </row>
    <row r="53" spans="1:31" ht="14.25">
      <c r="C53" s="280"/>
      <c r="D53" s="280"/>
      <c r="E53" s="344"/>
      <c r="J53" s="345"/>
      <c r="K53" s="346"/>
      <c r="L53" s="345"/>
      <c r="M53" s="43"/>
      <c r="N53" s="345"/>
      <c r="O53" s="43"/>
      <c r="P53" s="345"/>
      <c r="Q53" s="345"/>
      <c r="R53" s="345"/>
      <c r="S53" s="345"/>
      <c r="T53" s="345"/>
      <c r="U53" s="345"/>
      <c r="V53" s="345"/>
      <c r="W53" s="345"/>
      <c r="X53" s="345"/>
      <c r="Y53" s="345"/>
      <c r="Z53" s="345"/>
      <c r="AA53" s="345"/>
      <c r="AB53" s="345"/>
      <c r="AD53" s="291"/>
      <c r="AE53" s="2"/>
    </row>
    <row r="54" spans="1:31" ht="14.25">
      <c r="C54" s="280"/>
      <c r="D54" s="280"/>
      <c r="E54" s="344"/>
      <c r="J54" s="347"/>
      <c r="K54" s="348"/>
      <c r="L54" s="347"/>
      <c r="M54" s="349"/>
      <c r="N54" s="347"/>
      <c r="R54" s="448"/>
      <c r="S54" s="448"/>
      <c r="T54" s="347"/>
      <c r="V54" s="347"/>
      <c r="W54" s="347"/>
      <c r="X54" s="347"/>
      <c r="AB54" s="448"/>
      <c r="AD54" s="291"/>
      <c r="AE54" s="2"/>
    </row>
    <row r="55" spans="1:31" ht="14.25">
      <c r="C55" s="280"/>
      <c r="D55" s="280"/>
      <c r="E55" s="344"/>
      <c r="AD55" s="291"/>
      <c r="AE55" s="2"/>
    </row>
    <row r="56" spans="1:31" s="350" customFormat="1" ht="14.25">
      <c r="A56" s="272"/>
      <c r="C56" s="351"/>
      <c r="D56" s="351"/>
      <c r="E56" s="351"/>
      <c r="I56" s="354"/>
      <c r="J56" s="352"/>
      <c r="K56" s="30"/>
      <c r="M56" s="354"/>
      <c r="O56" s="354"/>
      <c r="AD56" s="355"/>
      <c r="AE56" s="356"/>
    </row>
    <row r="57" spans="1:31">
      <c r="AD57" s="291"/>
      <c r="AE57" s="2"/>
    </row>
    <row r="58" spans="1:31">
      <c r="AD58" s="291"/>
      <c r="AE58" s="2"/>
    </row>
    <row r="59" spans="1:31">
      <c r="AD59" s="291"/>
      <c r="AE59" s="2"/>
    </row>
    <row r="60" spans="1:31">
      <c r="AD60" s="291"/>
      <c r="AE60" s="2"/>
    </row>
    <row r="61" spans="1:31">
      <c r="AD61" s="291"/>
      <c r="AE61" s="2"/>
    </row>
    <row r="62" spans="1:31">
      <c r="AD62" s="291"/>
      <c r="AE62" s="2"/>
    </row>
    <row r="63" spans="1:31">
      <c r="AD63" s="291"/>
      <c r="AE63" s="2"/>
    </row>
    <row r="64" spans="1:31">
      <c r="AD64" s="291"/>
      <c r="AE64" s="2"/>
    </row>
    <row r="65" spans="1:56">
      <c r="AD65" s="291"/>
      <c r="AE65" s="2"/>
    </row>
    <row r="66" spans="1:56">
      <c r="AD66" s="291"/>
      <c r="AE66" s="2"/>
    </row>
    <row r="67" spans="1:56">
      <c r="B67" s="17"/>
      <c r="AD67" s="291"/>
      <c r="AE67" s="2"/>
    </row>
    <row r="68" spans="1:56" s="357" customFormat="1">
      <c r="A68" s="272"/>
      <c r="B68" s="276"/>
      <c r="AD68" s="358"/>
    </row>
    <row r="69" spans="1:56" s="19" customFormat="1">
      <c r="A69" s="272"/>
      <c r="B69" s="276"/>
      <c r="AD69" s="291"/>
      <c r="AE69" s="2"/>
    </row>
    <row r="70" spans="1:56" s="19" customFormat="1">
      <c r="A70" s="305"/>
      <c r="B70" s="306"/>
      <c r="C70" s="52"/>
      <c r="D70" s="52"/>
      <c r="E70" s="52"/>
      <c r="F70" s="30"/>
      <c r="G70" s="30"/>
      <c r="H70" s="30"/>
      <c r="I70" s="30"/>
      <c r="J70" s="30"/>
      <c r="K70" s="30"/>
      <c r="L70" s="30"/>
      <c r="M70" s="30"/>
      <c r="N70" s="30"/>
      <c r="O70" s="30"/>
      <c r="P70" s="30"/>
      <c r="Q70" s="30"/>
      <c r="R70" s="30"/>
      <c r="S70" s="30"/>
      <c r="T70" s="30"/>
      <c r="U70" s="30"/>
      <c r="V70" s="30"/>
      <c r="W70" s="30"/>
      <c r="X70" s="30"/>
      <c r="Y70" s="30"/>
      <c r="Z70" s="30"/>
      <c r="AA70" s="30"/>
      <c r="AB70" s="30"/>
      <c r="AC70" s="30"/>
      <c r="AD70" s="291"/>
      <c r="AE70" s="2"/>
      <c r="AF70" s="269"/>
      <c r="AP70" s="269"/>
      <c r="AQ70" s="269"/>
      <c r="AR70" s="269"/>
      <c r="AS70" s="269"/>
      <c r="AT70" s="269"/>
      <c r="AU70" s="269"/>
    </row>
    <row r="71" spans="1:56" s="19" customFormat="1" ht="14.25">
      <c r="A71" s="305"/>
      <c r="B71" s="306"/>
      <c r="C71" s="53"/>
      <c r="D71" s="53"/>
      <c r="E71" s="53"/>
      <c r="F71" s="30"/>
      <c r="G71" s="30"/>
      <c r="H71" s="30"/>
      <c r="I71" s="30"/>
      <c r="J71" s="30"/>
      <c r="K71" s="30"/>
      <c r="L71" s="30"/>
      <c r="M71" s="30"/>
      <c r="N71" s="30"/>
      <c r="O71" s="30"/>
      <c r="P71" s="30"/>
      <c r="Q71" s="30"/>
      <c r="R71" s="30"/>
      <c r="S71" s="30"/>
      <c r="T71" s="30"/>
      <c r="U71" s="30"/>
      <c r="V71" s="30"/>
      <c r="W71" s="30"/>
      <c r="X71" s="30"/>
      <c r="Y71" s="30"/>
      <c r="Z71" s="30"/>
      <c r="AA71" s="30"/>
      <c r="AB71" s="30"/>
      <c r="AC71" s="30"/>
      <c r="AD71" s="291"/>
      <c r="AE71" s="2"/>
      <c r="AF71" s="269"/>
      <c r="AG71" s="269"/>
      <c r="AH71" s="269"/>
      <c r="AI71" s="269"/>
      <c r="AJ71" s="269"/>
      <c r="AK71" s="269"/>
      <c r="AL71" s="269"/>
      <c r="AM71" s="269"/>
      <c r="AO71" s="269"/>
      <c r="AP71" s="269"/>
      <c r="AQ71" s="269"/>
      <c r="AR71" s="269"/>
      <c r="AS71" s="269"/>
      <c r="AT71" s="26"/>
      <c r="AU71" s="359"/>
      <c r="AV71" s="359"/>
      <c r="AW71" s="26"/>
    </row>
    <row r="72" spans="1:56" s="264" customFormat="1">
      <c r="A72" s="252"/>
      <c r="B72" s="254"/>
      <c r="C72" s="509"/>
      <c r="D72" s="509"/>
      <c r="E72" s="509"/>
      <c r="F72" s="509"/>
      <c r="G72" s="206"/>
      <c r="H72" s="54"/>
      <c r="I72" s="54"/>
      <c r="J72" s="54"/>
      <c r="K72" s="54"/>
      <c r="L72" s="360"/>
      <c r="M72" s="360"/>
      <c r="N72" s="54"/>
      <c r="O72" s="54"/>
      <c r="P72" s="54"/>
      <c r="Q72" s="54"/>
      <c r="R72" s="54"/>
      <c r="S72" s="54"/>
      <c r="T72" s="54"/>
      <c r="U72" s="54"/>
      <c r="V72" s="54"/>
      <c r="W72" s="54"/>
      <c r="X72" s="54"/>
      <c r="Y72" s="54"/>
      <c r="Z72" s="54"/>
      <c r="AA72" s="54"/>
      <c r="AB72" s="54"/>
      <c r="AC72" s="54"/>
      <c r="AD72" s="291"/>
      <c r="AE72" s="2"/>
      <c r="AF72" s="269"/>
      <c r="AG72" s="269"/>
      <c r="AH72" s="269"/>
      <c r="AI72" s="269"/>
      <c r="AJ72" s="269"/>
      <c r="AK72" s="269"/>
      <c r="AL72" s="269"/>
      <c r="AM72" s="269"/>
      <c r="AO72" s="269"/>
      <c r="AP72" s="269"/>
      <c r="AQ72" s="269"/>
      <c r="AR72" s="269"/>
      <c r="AT72" s="270"/>
      <c r="AU72" s="359"/>
      <c r="AV72" s="359"/>
      <c r="AW72" s="270"/>
      <c r="BD72" s="269"/>
    </row>
    <row r="73" spans="1:56">
      <c r="B73" s="273"/>
      <c r="C73" s="276"/>
      <c r="D73" s="276"/>
      <c r="E73" s="276"/>
      <c r="F73" s="276"/>
      <c r="G73" s="276"/>
      <c r="H73" s="276"/>
      <c r="I73" s="276"/>
      <c r="J73" s="276"/>
      <c r="L73" s="276"/>
      <c r="M73" s="276"/>
      <c r="N73" s="276"/>
      <c r="O73" s="276"/>
      <c r="P73" s="276"/>
      <c r="Q73" s="276"/>
      <c r="R73" s="276"/>
      <c r="S73" s="276"/>
      <c r="T73" s="276"/>
      <c r="U73" s="276"/>
      <c r="V73" s="276"/>
      <c r="W73" s="276"/>
      <c r="X73" s="276"/>
      <c r="Y73" s="276"/>
      <c r="Z73" s="276"/>
      <c r="AA73" s="276"/>
      <c r="AB73" s="276"/>
      <c r="AC73" s="276"/>
      <c r="AD73" s="291"/>
      <c r="AE73" s="2"/>
      <c r="AK73" s="264"/>
      <c r="AT73" s="270"/>
      <c r="AU73" s="359"/>
      <c r="AV73" s="359"/>
      <c r="AW73" s="270"/>
    </row>
    <row r="74" spans="1:56">
      <c r="B74" s="273"/>
      <c r="C74" s="276"/>
      <c r="D74" s="276"/>
      <c r="E74" s="276"/>
      <c r="F74" s="276"/>
      <c r="G74" s="276"/>
      <c r="H74" s="276"/>
      <c r="I74" s="276"/>
      <c r="J74" s="276"/>
      <c r="L74" s="276"/>
      <c r="M74" s="276"/>
      <c r="N74" s="276"/>
      <c r="O74" s="276"/>
      <c r="P74" s="276"/>
      <c r="Q74" s="276"/>
      <c r="R74" s="276"/>
      <c r="S74" s="276"/>
      <c r="T74" s="276"/>
      <c r="U74" s="276"/>
      <c r="V74" s="276"/>
      <c r="W74" s="276"/>
      <c r="X74" s="276"/>
      <c r="Y74" s="276"/>
      <c r="Z74" s="276"/>
      <c r="AA74" s="276"/>
      <c r="AB74" s="276"/>
      <c r="AC74" s="276"/>
      <c r="AD74" s="291"/>
      <c r="AE74" s="2"/>
      <c r="AH74" s="361"/>
      <c r="AK74" s="264"/>
      <c r="AT74" s="270"/>
      <c r="AU74" s="359"/>
      <c r="AV74" s="359"/>
      <c r="AW74" s="270"/>
    </row>
    <row r="75" spans="1:56">
      <c r="B75" s="273"/>
      <c r="C75" s="276"/>
      <c r="D75" s="276"/>
      <c r="E75" s="276"/>
      <c r="F75" s="276"/>
      <c r="G75" s="276"/>
      <c r="H75" s="276"/>
      <c r="I75" s="276"/>
      <c r="J75" s="276"/>
      <c r="L75" s="276"/>
      <c r="M75" s="276"/>
      <c r="N75" s="276"/>
      <c r="O75" s="276"/>
      <c r="P75" s="276"/>
      <c r="Q75" s="276"/>
      <c r="R75" s="276"/>
      <c r="S75" s="276"/>
      <c r="T75" s="276"/>
      <c r="U75" s="276"/>
      <c r="V75" s="276"/>
      <c r="W75" s="276"/>
      <c r="X75" s="276"/>
      <c r="Y75" s="276"/>
      <c r="Z75" s="276"/>
      <c r="AA75" s="276"/>
      <c r="AB75" s="276"/>
      <c r="AC75" s="276"/>
      <c r="AD75" s="291"/>
      <c r="AE75" s="2"/>
      <c r="AH75" s="361"/>
      <c r="AS75" s="363"/>
      <c r="AT75" s="363"/>
      <c r="AU75" s="179"/>
      <c r="AV75" s="364"/>
      <c r="AW75" s="363"/>
      <c r="AX75" s="363"/>
      <c r="BD75" s="268"/>
    </row>
    <row r="76" spans="1:56">
      <c r="B76" s="273"/>
      <c r="C76" s="365"/>
      <c r="D76" s="365"/>
      <c r="E76" s="365"/>
      <c r="F76" s="366"/>
      <c r="G76" s="366"/>
      <c r="H76" s="366"/>
      <c r="I76" s="366"/>
      <c r="J76" s="366"/>
      <c r="K76" s="366"/>
      <c r="L76" s="366"/>
      <c r="M76" s="366"/>
      <c r="N76" s="366"/>
      <c r="O76" s="276"/>
      <c r="P76" s="276"/>
      <c r="Q76" s="276"/>
      <c r="R76" s="276"/>
      <c r="S76" s="276"/>
      <c r="T76" s="276"/>
      <c r="U76" s="366"/>
      <c r="V76" s="366"/>
      <c r="W76" s="366"/>
      <c r="X76" s="276"/>
      <c r="Y76" s="276"/>
      <c r="Z76" s="276"/>
      <c r="AA76" s="276"/>
      <c r="AB76" s="276"/>
      <c r="AC76" s="276"/>
      <c r="AD76" s="291"/>
      <c r="AE76" s="2"/>
      <c r="AG76" s="345"/>
      <c r="AH76" s="345"/>
      <c r="AI76" s="345"/>
      <c r="AJ76" s="345"/>
      <c r="AK76" s="345"/>
      <c r="AL76" s="345"/>
      <c r="AM76" s="345"/>
      <c r="AN76" s="345"/>
      <c r="AO76" s="345"/>
      <c r="AS76" s="367"/>
      <c r="AT76" s="363"/>
      <c r="AU76" s="363"/>
      <c r="AV76" s="363"/>
      <c r="AW76" s="363"/>
      <c r="AX76" s="363"/>
      <c r="BD76" s="268"/>
    </row>
    <row r="77" spans="1:56" ht="12.75" customHeight="1">
      <c r="B77" s="273"/>
      <c r="AD77" s="291"/>
      <c r="AE77" s="2"/>
      <c r="AH77" s="361"/>
      <c r="AS77" s="363"/>
      <c r="AT77" s="363"/>
      <c r="AV77" s="363"/>
      <c r="AW77" s="363"/>
      <c r="AX77" s="363"/>
      <c r="BD77" s="268"/>
    </row>
    <row r="78" spans="1:56">
      <c r="B78" s="273"/>
      <c r="AD78" s="291"/>
      <c r="AE78" s="2"/>
      <c r="AG78" s="19"/>
      <c r="AH78" s="368"/>
      <c r="AI78" s="368"/>
      <c r="AO78" s="19"/>
      <c r="AP78" s="368"/>
      <c r="AQ78" s="368"/>
      <c r="AS78" s="363"/>
      <c r="AT78" s="363"/>
      <c r="AU78" s="369" t="s">
        <v>206</v>
      </c>
      <c r="AV78" s="363"/>
      <c r="AW78" s="363"/>
      <c r="AX78" s="363"/>
      <c r="BD78" s="268"/>
    </row>
    <row r="79" spans="1:56" ht="12.75" customHeight="1">
      <c r="B79" s="273"/>
      <c r="AD79" s="291"/>
      <c r="AE79" s="2"/>
      <c r="AH79" s="361"/>
      <c r="AS79" s="363"/>
      <c r="AT79" s="363"/>
      <c r="AU79" s="372" t="s">
        <v>0</v>
      </c>
      <c r="AV79" s="372" t="s">
        <v>1</v>
      </c>
      <c r="AW79" s="363"/>
      <c r="AX79" s="363"/>
      <c r="BD79" s="268"/>
    </row>
    <row r="80" spans="1:56">
      <c r="AD80" s="291"/>
      <c r="AE80" s="2"/>
      <c r="AH80" s="361"/>
      <c r="AK80" s="370"/>
      <c r="AS80" s="363"/>
      <c r="AT80" s="363"/>
      <c r="AU80" s="372">
        <f>MATCH(E19,AN84:AN88,0)</f>
        <v>4</v>
      </c>
      <c r="AV80" s="374">
        <f>MATCH(H19,AN84:AN88,0)</f>
        <v>4</v>
      </c>
      <c r="AW80" s="363"/>
      <c r="AX80" s="363"/>
    </row>
    <row r="81" spans="1:67" ht="15" thickBot="1">
      <c r="C81" s="30" t="s">
        <v>162</v>
      </c>
      <c r="D81" s="280"/>
      <c r="E81" s="344"/>
      <c r="J81" s="345"/>
      <c r="K81" s="346"/>
      <c r="L81" s="345"/>
      <c r="M81" s="43"/>
      <c r="N81" s="345"/>
      <c r="O81" s="43"/>
      <c r="P81" s="345"/>
      <c r="Q81" s="345"/>
      <c r="R81" s="345"/>
      <c r="S81" s="345"/>
      <c r="T81" s="345"/>
      <c r="U81" s="345"/>
      <c r="V81" s="345"/>
      <c r="W81" s="345"/>
      <c r="X81" s="345"/>
      <c r="Y81" s="345"/>
      <c r="Z81" s="345"/>
      <c r="AA81" s="345"/>
      <c r="AB81" s="345"/>
      <c r="AD81" s="291"/>
      <c r="AE81" s="2"/>
      <c r="AT81" s="270"/>
      <c r="AU81" s="270"/>
      <c r="AV81" s="270"/>
      <c r="AW81" s="270"/>
      <c r="BD81" s="268"/>
    </row>
    <row r="82" spans="1:67" s="4" customFormat="1" ht="14.25">
      <c r="A82" s="305"/>
      <c r="B82" s="19"/>
      <c r="C82" s="30" t="s">
        <v>163</v>
      </c>
      <c r="D82" s="280"/>
      <c r="E82" s="344"/>
      <c r="F82" s="269"/>
      <c r="G82" s="273"/>
      <c r="H82" s="269"/>
      <c r="I82" s="268"/>
      <c r="J82" s="332">
        <f>MAX((F23*$AO$84-J17)*$AO$89*$AP$84,0)</f>
        <v>66</v>
      </c>
      <c r="K82" s="375"/>
      <c r="L82" s="332">
        <f ca="1">MAX(($F$23*0.5-L17)*AO89*AP84,0)</f>
        <v>0</v>
      </c>
      <c r="M82" s="376"/>
      <c r="N82" s="332">
        <f ca="1">MAX(($H$23*(0.5*H25)-N17)*AP89,0)</f>
        <v>0</v>
      </c>
      <c r="O82" s="268"/>
      <c r="P82" s="269"/>
      <c r="Q82" s="269"/>
      <c r="R82" s="449">
        <f ca="1">MAX(($F$23*AO84*IF(F15&lt;$AO96,1,IF(F15&gt;($AO96+AO97),0.6,1-(F15-$AO96)/100))-R17)*AO89*AP84,0)</f>
        <v>0</v>
      </c>
      <c r="S82" s="449"/>
      <c r="T82" s="332">
        <f ca="1">MAX(($H$23*(0.5*$H$25)-T17)*AP89,0)</f>
        <v>0</v>
      </c>
      <c r="U82" s="269"/>
      <c r="V82" s="332">
        <f>MAX(($H$23*0.5-V17)*AP89,0)</f>
        <v>214.64999999999998</v>
      </c>
      <c r="W82" s="332"/>
      <c r="X82" s="332">
        <f ca="1">MAX(($H$23*0.5-X17)*AP89,0)</f>
        <v>0</v>
      </c>
      <c r="Y82" s="269"/>
      <c r="Z82" s="269"/>
      <c r="AA82" s="269"/>
      <c r="AB82" s="449">
        <f ca="1">MAX((H23*AO84*IF(H15&lt;$AP96,1,IF(H15&gt;($AP96+AP97),0.6,1-(H15-$AP96)/100))-AB17)*AP89*AP84,0)</f>
        <v>0</v>
      </c>
      <c r="AC82" s="269"/>
      <c r="AD82" s="291"/>
      <c r="AE82" s="2"/>
      <c r="AF82" s="269"/>
      <c r="AG82" s="269"/>
      <c r="AH82" s="269"/>
      <c r="AI82" s="269"/>
      <c r="AJ82" s="269"/>
      <c r="AK82" s="269"/>
      <c r="AL82" s="269"/>
      <c r="AM82" s="269"/>
      <c r="AN82" s="378"/>
      <c r="AO82" s="379"/>
      <c r="AP82" s="380"/>
      <c r="AQ82" s="269"/>
      <c r="AR82" s="269"/>
      <c r="AS82" s="269"/>
      <c r="AT82" s="269"/>
      <c r="AU82" s="269"/>
      <c r="AZ82" s="276"/>
      <c r="BA82" s="6"/>
      <c r="BD82" s="291"/>
    </row>
    <row r="83" spans="1:67" s="4" customFormat="1" ht="12.75" customHeight="1">
      <c r="A83" s="381"/>
      <c r="C83" s="30" t="s">
        <v>166</v>
      </c>
      <c r="D83" s="280"/>
      <c r="E83" s="344"/>
      <c r="F83" s="269"/>
      <c r="G83" s="273"/>
      <c r="H83" s="269"/>
      <c r="I83" s="268"/>
      <c r="J83" s="332">
        <v>0</v>
      </c>
      <c r="K83" s="375"/>
      <c r="L83" s="332">
        <v>0</v>
      </c>
      <c r="M83" s="376"/>
      <c r="N83" s="332">
        <v>0</v>
      </c>
      <c r="O83" s="268"/>
      <c r="P83" s="269"/>
      <c r="Q83" s="269"/>
      <c r="R83" s="449">
        <v>0</v>
      </c>
      <c r="S83" s="449"/>
      <c r="T83" s="332">
        <v>0</v>
      </c>
      <c r="U83" s="269"/>
      <c r="V83" s="332">
        <v>0</v>
      </c>
      <c r="W83" s="332"/>
      <c r="X83" s="332">
        <v>0</v>
      </c>
      <c r="Y83" s="269"/>
      <c r="Z83" s="269"/>
      <c r="AA83" s="269"/>
      <c r="AB83" s="449">
        <v>0</v>
      </c>
      <c r="AC83" s="269"/>
      <c r="AD83" s="291"/>
      <c r="AE83" s="2"/>
      <c r="AF83" s="269"/>
      <c r="AG83" s="269"/>
      <c r="AH83" s="269"/>
      <c r="AI83" s="269"/>
      <c r="AJ83" s="269"/>
      <c r="AK83" s="269"/>
      <c r="AL83" s="269"/>
      <c r="AM83" s="269"/>
      <c r="AN83" s="307" t="s">
        <v>25</v>
      </c>
      <c r="AO83" s="21" t="s">
        <v>178</v>
      </c>
      <c r="AP83" s="308" t="s">
        <v>179</v>
      </c>
      <c r="AQ83" s="269"/>
      <c r="AR83" s="269"/>
      <c r="AS83" s="269"/>
      <c r="AT83" s="269"/>
      <c r="AU83" s="19" t="s">
        <v>169</v>
      </c>
      <c r="AX83" s="19" t="s">
        <v>170</v>
      </c>
      <c r="BD83" s="268"/>
      <c r="BG83" s="19" t="s">
        <v>210</v>
      </c>
      <c r="BH83" s="19" t="s">
        <v>26</v>
      </c>
      <c r="BI83" s="19" t="s">
        <v>211</v>
      </c>
      <c r="BJ83" s="19" t="s">
        <v>26</v>
      </c>
      <c r="BK83" s="19" t="s">
        <v>198</v>
      </c>
      <c r="BL83" s="19" t="s">
        <v>203</v>
      </c>
      <c r="BM83" s="19" t="s">
        <v>201</v>
      </c>
      <c r="BN83" s="19" t="s">
        <v>204</v>
      </c>
      <c r="BO83" s="19" t="s">
        <v>205</v>
      </c>
    </row>
    <row r="84" spans="1:67" s="4" customFormat="1" ht="14.25">
      <c r="A84" s="381"/>
      <c r="C84" s="280" t="s">
        <v>37</v>
      </c>
      <c r="D84" s="280"/>
      <c r="E84" s="344"/>
      <c r="F84" s="269"/>
      <c r="G84" s="273"/>
      <c r="H84" s="269"/>
      <c r="I84" s="268"/>
      <c r="J84" s="332">
        <f>MAX(($F$23*$F$24-J17)*$AO$89*$F$22,0)</f>
        <v>344</v>
      </c>
      <c r="K84" s="375"/>
      <c r="L84" s="332">
        <f ca="1">MAX(($F$23*$F$24-L17)*AO89*$F$22,0)</f>
        <v>0</v>
      </c>
      <c r="M84" s="376"/>
      <c r="N84" s="332">
        <f ca="1">MAX(($H$23*$H$24*$H$25-N17)*AP89*$H$22,0)</f>
        <v>0</v>
      </c>
      <c r="O84" s="268"/>
      <c r="P84" s="269"/>
      <c r="Q84" s="269"/>
      <c r="R84" s="332">
        <f ca="1">MAX(($F$23*$F$25-R17)*AO89*$F$22,0)</f>
        <v>0</v>
      </c>
      <c r="S84" s="332"/>
      <c r="T84" s="332">
        <f ca="1">MAX(($H$23*$H$25-T17)*AP89*$H$22,0)</f>
        <v>0</v>
      </c>
      <c r="U84" s="269"/>
      <c r="V84" s="332">
        <f>MAX(($H$23*$H$24-V17)*AP89*$H$22,0)</f>
        <v>321.97499999999997</v>
      </c>
      <c r="W84" s="332"/>
      <c r="X84" s="332">
        <f ca="1">MAX(($H$23*$H$24-X17)*AP89*$H$22,0)</f>
        <v>0</v>
      </c>
      <c r="Y84" s="269"/>
      <c r="Z84" s="269"/>
      <c r="AA84" s="269"/>
      <c r="AB84" s="332">
        <f ca="1">MAX(($H$23*$H$25-AB17)*AP89*$H$22,0)</f>
        <v>0</v>
      </c>
      <c r="AC84" s="269"/>
      <c r="AD84" s="291"/>
      <c r="AE84" s="2"/>
      <c r="AF84" s="269"/>
      <c r="AG84" s="450"/>
      <c r="AH84" s="270"/>
      <c r="AI84" s="270"/>
      <c r="AJ84" s="269"/>
      <c r="AK84" s="269"/>
      <c r="AL84" s="269"/>
      <c r="AM84" s="269"/>
      <c r="AN84" s="388" t="s">
        <v>163</v>
      </c>
      <c r="AO84" s="268">
        <v>0.5</v>
      </c>
      <c r="AP84" s="302">
        <v>0.55000000000000004</v>
      </c>
      <c r="AQ84" s="270"/>
      <c r="AR84" s="269"/>
      <c r="AS84" s="269"/>
      <c r="AT84" s="269"/>
      <c r="AU84" s="386">
        <v>1</v>
      </c>
      <c r="AX84" s="387">
        <v>0.85</v>
      </c>
      <c r="BG84" s="332" t="e">
        <f t="shared" ref="BG84:BG115" ca="1" si="2">IF(BH84&lt;$AO$96+$AO$97,NA(),$P$51)</f>
        <v>#N/A</v>
      </c>
      <c r="BH84" s="385">
        <f ca="1">AO98</f>
        <v>43560</v>
      </c>
      <c r="BI84" s="332">
        <f ca="1">R51</f>
        <v>405.31441816939042</v>
      </c>
      <c r="BJ84" s="385">
        <f ca="1">BH84</f>
        <v>43560</v>
      </c>
      <c r="BK84" s="332">
        <f ca="1">T51</f>
        <v>407.68146255565807</v>
      </c>
      <c r="BL84" s="269"/>
      <c r="BM84" s="269"/>
      <c r="BN84" s="269"/>
      <c r="BO84" s="269"/>
    </row>
    <row r="85" spans="1:67" s="4" customFormat="1" ht="14.25">
      <c r="A85" s="381"/>
      <c r="C85" s="280" t="s">
        <v>164</v>
      </c>
      <c r="D85" s="280"/>
      <c r="E85" s="344"/>
      <c r="F85" s="269"/>
      <c r="G85" s="273"/>
      <c r="H85" s="269"/>
      <c r="I85" s="268"/>
      <c r="J85" s="332">
        <f>MAX(($F$23*$F$24*MAX(AO89,MIN(AO89*2,$F$10))-J17*MIN(AO89,$F$10)),0)</f>
        <v>344</v>
      </c>
      <c r="K85" s="375"/>
      <c r="L85" s="332">
        <f ca="1">MAX(($F$23*$F$24*MAX($AO$89,MIN($AO$89*2,$F$10))-L17*MIN(AO89,$F$10)),0)</f>
        <v>0</v>
      </c>
      <c r="M85" s="376"/>
      <c r="N85" s="332">
        <f ca="1">MAX(($H$23*$H$24*H25*MAX(AP89,MIN(AP89*2,$H$10))-N17*MIN(AP89,$H$10)),0)</f>
        <v>0</v>
      </c>
      <c r="O85" s="268"/>
      <c r="P85" s="269"/>
      <c r="Q85" s="269"/>
      <c r="R85" s="449">
        <f ca="1">MAX(($F$23*$F$25*MAX($AO$89,MIN($AO$89*2,$F$10))-R17*MIN($AO$89,$F$10)),0)</f>
        <v>0</v>
      </c>
      <c r="S85" s="449"/>
      <c r="T85" s="332">
        <f ca="1">MAX(($H$23*$H$25*MAX(EBC79,MIN(AP89*2,$H$10))-T17*MIN(AP89,$H$10)),0)</f>
        <v>0</v>
      </c>
      <c r="U85" s="269"/>
      <c r="V85" s="332">
        <f>MAX(($H$23*$H$24*MAX(EBC79,MIN(AP89*2,$H$10))-V17*MIN(AP89,$H$10)),0)</f>
        <v>337.5</v>
      </c>
      <c r="W85" s="332"/>
      <c r="X85" s="332">
        <f ca="1">MAX(($H$23*$H$24*MAX(AP89,MIN(AP89*2,$H$10))-X17*MIN(AP89,$H$10)),0)</f>
        <v>0</v>
      </c>
      <c r="Y85" s="269"/>
      <c r="Z85" s="269"/>
      <c r="AA85" s="269"/>
      <c r="AB85" s="449">
        <f ca="1">MAX((H23*H25*MAX(EBC79,MIN(AP89*2,$H$10))-AB17*MIN(AP89,$H$10)),0)</f>
        <v>0</v>
      </c>
      <c r="AC85" s="269"/>
      <c r="AD85" s="291"/>
      <c r="AE85" s="2"/>
      <c r="AF85" s="269"/>
      <c r="AG85" s="450"/>
      <c r="AH85" s="270"/>
      <c r="AI85" s="270"/>
      <c r="AJ85" s="269"/>
      <c r="AK85" s="269"/>
      <c r="AL85" s="269"/>
      <c r="AM85" s="269"/>
      <c r="AN85" s="388" t="s">
        <v>182</v>
      </c>
      <c r="AO85" s="389"/>
      <c r="AP85" s="390"/>
      <c r="AQ85" s="270"/>
      <c r="AR85" s="269"/>
      <c r="AS85" s="269"/>
      <c r="AT85" s="269"/>
      <c r="AU85" s="386">
        <v>0.99</v>
      </c>
      <c r="AX85" s="387">
        <v>0.8</v>
      </c>
      <c r="BD85" s="21"/>
      <c r="BG85" s="332" t="e">
        <f t="shared" ca="1" si="2"/>
        <v>#N/A</v>
      </c>
      <c r="BH85" s="385">
        <f ca="1">BH84</f>
        <v>43560</v>
      </c>
      <c r="BI85" s="269">
        <f t="dataTable" ref="BI85:BI206" dt2D="0" dtr="0" r1="F15" ca="1"/>
        <v>562</v>
      </c>
      <c r="BJ85" s="385">
        <f ca="1">BH85</f>
        <v>43560</v>
      </c>
      <c r="BK85" s="269" t="e">
        <f t="dataTable" ref="BK85:BK206" dt2D="0" dtr="0" r1="H15" ca="1"/>
        <v>#N/A</v>
      </c>
      <c r="BL85" s="269">
        <f t="shared" ref="BL85:BL116" ca="1" si="3">IF(AND(BH85&gt;=$AO$96,BH85&lt;=$AO$96+$AO$97),1000,0)</f>
        <v>0</v>
      </c>
      <c r="BM85" s="269">
        <f t="shared" ref="BM85:BM116" ca="1" si="4">IF(BH85=$AO$98,1000,0)</f>
        <v>1000</v>
      </c>
      <c r="BN85" s="269">
        <f t="shared" ref="BN85:BN116" ca="1" si="5">IF(BH85=$AP$98,1000,0)</f>
        <v>0</v>
      </c>
      <c r="BO85" s="269">
        <f t="shared" ref="BO85:BO116" ca="1" si="6">IF(AND(BH85&gt;=$AP$96,BH85&lt;=$AP$96+$AP$97),1000,0)</f>
        <v>0</v>
      </c>
    </row>
    <row r="86" spans="1:67" s="4" customFormat="1" ht="14.25">
      <c r="A86" s="381"/>
      <c r="C86" s="280" t="s">
        <v>165</v>
      </c>
      <c r="D86" s="280"/>
      <c r="E86" s="344"/>
      <c r="F86" s="269"/>
      <c r="G86" s="273"/>
      <c r="H86" s="269"/>
      <c r="I86" s="268"/>
      <c r="J86" s="347">
        <f>MAX($F$23*$F$24*$AO$89-J17*MIN(F10,$AO$89),0)</f>
        <v>344</v>
      </c>
      <c r="K86" s="348"/>
      <c r="L86" s="347">
        <f ca="1">MAX($F$23*$F$24*$AO$89-L17*MIN(AO89,$F$10),0)</f>
        <v>0</v>
      </c>
      <c r="M86" s="349"/>
      <c r="N86" s="347">
        <f ca="1">MAX($H$23*$H$24*H25*$AP$89-N17*MIN($AP$89,$H$10),0)</f>
        <v>0</v>
      </c>
      <c r="O86" s="268"/>
      <c r="P86" s="269"/>
      <c r="Q86" s="269"/>
      <c r="R86" s="448">
        <f ca="1">MAX($F$23*$F$25*$AO$89-R17*MIN(AO89,$F$10),0)</f>
        <v>0</v>
      </c>
      <c r="S86" s="448"/>
      <c r="T86" s="347">
        <f ca="1">MAX($H$23*$H$25*AP89-T17*MIN(AP89,$H$10),0)</f>
        <v>0</v>
      </c>
      <c r="U86" s="269"/>
      <c r="V86" s="347">
        <f>MAX($H$23*$H$24*AP89-V17*MIN(AP89,$H$10),0)</f>
        <v>321.97499999999997</v>
      </c>
      <c r="W86" s="347"/>
      <c r="X86" s="347">
        <f ca="1">MAX($H$23*$H$24*AP89-X17*MIN(AP89,$H$10),0)</f>
        <v>0</v>
      </c>
      <c r="Y86" s="269"/>
      <c r="Z86" s="269"/>
      <c r="AA86" s="269"/>
      <c r="AB86" s="448">
        <f ca="1">MAX(H23*H25*AP89-AB17*MIN(AP89,$H$10),0)</f>
        <v>0</v>
      </c>
      <c r="AC86" s="269"/>
      <c r="AD86" s="291"/>
      <c r="AE86" s="2"/>
      <c r="AF86" s="269"/>
      <c r="AG86" s="450"/>
      <c r="AH86" s="270"/>
      <c r="AI86" s="270"/>
      <c r="AJ86" s="269"/>
      <c r="AK86" s="269"/>
      <c r="AL86" s="269"/>
      <c r="AM86" s="269"/>
      <c r="AN86" s="391" t="s">
        <v>37</v>
      </c>
      <c r="AO86" s="389"/>
      <c r="AP86" s="390"/>
      <c r="AQ86" s="270"/>
      <c r="AR86" s="269"/>
      <c r="AS86" s="269"/>
      <c r="AT86" s="269"/>
      <c r="AU86" s="386">
        <v>0.98</v>
      </c>
      <c r="AX86" s="387">
        <v>0.75</v>
      </c>
      <c r="BD86" s="21"/>
      <c r="BG86" s="332" t="e">
        <f t="shared" ca="1" si="2"/>
        <v>#N/A</v>
      </c>
      <c r="BH86" s="385">
        <f ca="1">BH85+1</f>
        <v>43561</v>
      </c>
      <c r="BI86" s="269">
        <v>562</v>
      </c>
      <c r="BJ86" s="385">
        <f ca="1">BJ85+1</f>
        <v>43561</v>
      </c>
      <c r="BK86" s="269" t="e">
        <v>#N/A</v>
      </c>
      <c r="BL86" s="269">
        <f t="shared" ca="1" si="3"/>
        <v>0</v>
      </c>
      <c r="BM86" s="269">
        <f t="shared" ca="1" si="4"/>
        <v>0</v>
      </c>
      <c r="BN86" s="269">
        <f t="shared" ca="1" si="5"/>
        <v>0</v>
      </c>
      <c r="BO86" s="269">
        <f t="shared" ca="1" si="6"/>
        <v>0</v>
      </c>
    </row>
    <row r="87" spans="1:67" s="4" customFormat="1">
      <c r="A87" s="381"/>
      <c r="C87" s="451"/>
      <c r="D87" s="452"/>
      <c r="E87" s="274"/>
      <c r="F87" s="269"/>
      <c r="G87" s="273"/>
      <c r="H87" s="269"/>
      <c r="I87" s="268"/>
      <c r="J87" s="269"/>
      <c r="K87" s="276"/>
      <c r="L87" s="269"/>
      <c r="M87" s="268"/>
      <c r="N87" s="269"/>
      <c r="O87" s="268"/>
      <c r="P87" s="269"/>
      <c r="Q87" s="269"/>
      <c r="R87" s="269"/>
      <c r="S87" s="269"/>
      <c r="T87" s="269"/>
      <c r="U87" s="269"/>
      <c r="V87" s="269"/>
      <c r="W87" s="269"/>
      <c r="X87" s="269"/>
      <c r="Y87" s="269"/>
      <c r="Z87" s="269"/>
      <c r="AA87" s="269"/>
      <c r="AB87" s="269"/>
      <c r="AC87" s="269"/>
      <c r="AD87" s="291"/>
      <c r="AE87" s="2"/>
      <c r="AF87" s="269"/>
      <c r="AG87" s="450"/>
      <c r="AH87" s="270"/>
      <c r="AI87" s="270"/>
      <c r="AJ87" s="269"/>
      <c r="AK87" s="269"/>
      <c r="AL87" s="269"/>
      <c r="AM87" s="269"/>
      <c r="AN87" s="388" t="s">
        <v>164</v>
      </c>
      <c r="AO87" s="510" t="s">
        <v>34</v>
      </c>
      <c r="AP87" s="511"/>
      <c r="AQ87" s="270"/>
      <c r="AR87" s="269"/>
      <c r="AS87" s="269"/>
      <c r="AT87" s="269"/>
      <c r="AU87" s="386">
        <v>0.97</v>
      </c>
      <c r="AX87" s="387">
        <v>0.7</v>
      </c>
      <c r="BD87" s="21"/>
      <c r="BG87" s="332" t="e">
        <f t="shared" ca="1" si="2"/>
        <v>#N/A</v>
      </c>
      <c r="BH87" s="385">
        <f t="shared" ref="BH87:BJ102" ca="1" si="7">BH86+1</f>
        <v>43562</v>
      </c>
      <c r="BI87" s="269">
        <v>562</v>
      </c>
      <c r="BJ87" s="385">
        <f t="shared" ca="1" si="7"/>
        <v>43562</v>
      </c>
      <c r="BK87" s="269" t="e">
        <v>#N/A</v>
      </c>
      <c r="BL87" s="269">
        <f t="shared" ca="1" si="3"/>
        <v>0</v>
      </c>
      <c r="BM87" s="269">
        <f t="shared" ca="1" si="4"/>
        <v>0</v>
      </c>
      <c r="BN87" s="269">
        <f t="shared" ca="1" si="5"/>
        <v>0</v>
      </c>
      <c r="BO87" s="269">
        <f t="shared" ca="1" si="6"/>
        <v>0</v>
      </c>
    </row>
    <row r="88" spans="1:67" s="4" customFormat="1">
      <c r="A88" s="381"/>
      <c r="C88" s="276"/>
      <c r="D88" s="276"/>
      <c r="E88" s="276"/>
      <c r="F88" s="50"/>
      <c r="G88" s="50"/>
      <c r="H88" s="392"/>
      <c r="I88" s="50"/>
      <c r="J88" s="50"/>
      <c r="K88" s="50"/>
      <c r="L88" s="50"/>
      <c r="M88" s="50"/>
      <c r="N88" s="50"/>
      <c r="O88" s="50"/>
      <c r="P88" s="50"/>
      <c r="Q88" s="50"/>
      <c r="R88" s="50"/>
      <c r="S88" s="50"/>
      <c r="T88" s="50"/>
      <c r="U88" s="50"/>
      <c r="V88" s="50"/>
      <c r="W88" s="50"/>
      <c r="X88" s="50"/>
      <c r="Y88" s="50"/>
      <c r="Z88" s="50"/>
      <c r="AA88" s="50"/>
      <c r="AB88" s="50"/>
      <c r="AC88" s="50"/>
      <c r="AD88" s="291"/>
      <c r="AE88" s="2"/>
      <c r="AF88" s="269"/>
      <c r="AG88" s="450"/>
      <c r="AH88" s="270"/>
      <c r="AI88" s="270"/>
      <c r="AJ88" s="269"/>
      <c r="AK88" s="269"/>
      <c r="AL88" s="269"/>
      <c r="AM88" s="269"/>
      <c r="AN88" s="393" t="s">
        <v>187</v>
      </c>
      <c r="AO88" s="394" t="s">
        <v>0</v>
      </c>
      <c r="AP88" s="395" t="s">
        <v>1</v>
      </c>
      <c r="AQ88" s="270"/>
      <c r="AR88" s="269"/>
      <c r="AS88" s="269"/>
      <c r="AT88" s="269"/>
      <c r="AU88" s="386">
        <v>0.96</v>
      </c>
      <c r="AX88" s="387">
        <v>0.65</v>
      </c>
      <c r="BD88" s="21"/>
      <c r="BG88" s="332" t="e">
        <f t="shared" ca="1" si="2"/>
        <v>#N/A</v>
      </c>
      <c r="BH88" s="385">
        <f t="shared" ca="1" si="7"/>
        <v>43563</v>
      </c>
      <c r="BI88" s="269">
        <v>562</v>
      </c>
      <c r="BJ88" s="385">
        <f t="shared" ca="1" si="7"/>
        <v>43563</v>
      </c>
      <c r="BK88" s="269" t="e">
        <v>#N/A</v>
      </c>
      <c r="BL88" s="269">
        <f t="shared" ca="1" si="3"/>
        <v>0</v>
      </c>
      <c r="BM88" s="269">
        <f t="shared" ca="1" si="4"/>
        <v>0</v>
      </c>
      <c r="BN88" s="269">
        <f t="shared" ca="1" si="5"/>
        <v>0</v>
      </c>
      <c r="BO88" s="269">
        <f t="shared" ca="1" si="6"/>
        <v>0</v>
      </c>
    </row>
    <row r="89" spans="1:67" s="4" customFormat="1" ht="13.5" thickBot="1">
      <c r="A89" s="381"/>
      <c r="C89" s="276"/>
      <c r="D89" s="276"/>
      <c r="E89" s="276"/>
      <c r="F89" s="18"/>
      <c r="G89" s="18"/>
      <c r="H89" s="18"/>
      <c r="I89" s="396"/>
      <c r="J89" s="396"/>
      <c r="K89" s="396"/>
      <c r="L89" s="396"/>
      <c r="M89" s="396"/>
      <c r="N89" s="396"/>
      <c r="O89" s="30"/>
      <c r="P89" s="51"/>
      <c r="Q89" s="51"/>
      <c r="R89" s="30"/>
      <c r="S89" s="30"/>
      <c r="T89" s="30"/>
      <c r="U89" s="30"/>
      <c r="V89" s="30"/>
      <c r="W89" s="30"/>
      <c r="X89" s="30"/>
      <c r="Y89" s="30"/>
      <c r="Z89" s="30"/>
      <c r="AA89" s="30"/>
      <c r="AB89" s="30"/>
      <c r="AC89" s="30"/>
      <c r="AD89" s="291"/>
      <c r="AE89" s="2"/>
      <c r="AF89" s="269"/>
      <c r="AG89" s="450"/>
      <c r="AH89" s="270"/>
      <c r="AI89" s="270"/>
      <c r="AJ89" s="269"/>
      <c r="AK89" s="269"/>
      <c r="AL89" s="269"/>
      <c r="AM89" s="269"/>
      <c r="AN89" s="397" t="s">
        <v>180</v>
      </c>
      <c r="AO89" s="453">
        <f>Instructions!L17</f>
        <v>4</v>
      </c>
      <c r="AP89" s="454">
        <f>Instructions!M17</f>
        <v>9.5399999999999991</v>
      </c>
      <c r="AQ89" s="270"/>
      <c r="AR89" s="269"/>
      <c r="AS89" s="269"/>
      <c r="AT89" s="269"/>
      <c r="AU89" s="386">
        <v>0.95</v>
      </c>
      <c r="AX89" s="387">
        <v>0.6</v>
      </c>
      <c r="BD89" s="21"/>
      <c r="BG89" s="332" t="e">
        <f t="shared" ca="1" si="2"/>
        <v>#N/A</v>
      </c>
      <c r="BH89" s="385">
        <f t="shared" ca="1" si="7"/>
        <v>43564</v>
      </c>
      <c r="BI89" s="269">
        <v>562</v>
      </c>
      <c r="BJ89" s="385">
        <f t="shared" ca="1" si="7"/>
        <v>43564</v>
      </c>
      <c r="BK89" s="269" t="e">
        <v>#N/A</v>
      </c>
      <c r="BL89" s="269">
        <f t="shared" ca="1" si="3"/>
        <v>0</v>
      </c>
      <c r="BM89" s="269">
        <f t="shared" ca="1" si="4"/>
        <v>0</v>
      </c>
      <c r="BN89" s="269">
        <f t="shared" ca="1" si="5"/>
        <v>0</v>
      </c>
      <c r="BO89" s="269">
        <f t="shared" ca="1" si="6"/>
        <v>0</v>
      </c>
    </row>
    <row r="90" spans="1:67" s="4" customFormat="1">
      <c r="A90" s="381"/>
      <c r="C90" s="399"/>
      <c r="D90" s="400"/>
      <c r="E90" s="400"/>
      <c r="F90" s="399"/>
      <c r="G90" s="399"/>
      <c r="H90" s="399"/>
      <c r="I90" s="50"/>
      <c r="J90" s="169"/>
      <c r="K90" s="169"/>
      <c r="L90" s="171"/>
      <c r="M90" s="171"/>
      <c r="N90" s="169"/>
      <c r="O90" s="169"/>
      <c r="P90" s="169"/>
      <c r="Q90" s="169"/>
      <c r="R90" s="170"/>
      <c r="S90" s="170"/>
      <c r="T90" s="169"/>
      <c r="U90" s="50"/>
      <c r="V90" s="169"/>
      <c r="W90" s="169"/>
      <c r="X90" s="169"/>
      <c r="Y90" s="50"/>
      <c r="Z90" s="169"/>
      <c r="AA90" s="169"/>
      <c r="AB90" s="170"/>
      <c r="AC90" s="50"/>
      <c r="AD90" s="291"/>
      <c r="AE90" s="2"/>
      <c r="AF90" s="269"/>
      <c r="AG90" s="450"/>
      <c r="AH90" s="270"/>
      <c r="AI90" s="270"/>
      <c r="AJ90" s="269"/>
      <c r="AK90" s="269"/>
      <c r="AL90" s="269"/>
      <c r="AM90" s="269"/>
      <c r="AN90" s="401"/>
      <c r="AO90" s="402"/>
      <c r="AP90" s="403"/>
      <c r="AQ90" s="270"/>
      <c r="AR90" s="269"/>
      <c r="AS90" s="269"/>
      <c r="AT90" s="269"/>
      <c r="AU90" s="386">
        <v>0.94</v>
      </c>
      <c r="AX90" s="387">
        <v>0.55000000000000004</v>
      </c>
      <c r="BD90" s="21"/>
      <c r="BG90" s="332" t="e">
        <f t="shared" ca="1" si="2"/>
        <v>#N/A</v>
      </c>
      <c r="BH90" s="385">
        <f t="shared" ca="1" si="7"/>
        <v>43565</v>
      </c>
      <c r="BI90" s="4">
        <v>562</v>
      </c>
      <c r="BJ90" s="385">
        <f t="shared" ca="1" si="7"/>
        <v>43565</v>
      </c>
      <c r="BK90" s="4" t="e">
        <v>#N/A</v>
      </c>
      <c r="BL90" s="269">
        <f t="shared" ca="1" si="3"/>
        <v>0</v>
      </c>
      <c r="BM90" s="269">
        <f t="shared" ca="1" si="4"/>
        <v>0</v>
      </c>
      <c r="BN90" s="269">
        <f t="shared" ca="1" si="5"/>
        <v>0</v>
      </c>
      <c r="BO90" s="269">
        <f t="shared" ca="1" si="6"/>
        <v>0</v>
      </c>
    </row>
    <row r="91" spans="1:67" s="4" customFormat="1">
      <c r="A91" s="381"/>
      <c r="C91" s="399"/>
      <c r="D91" s="400"/>
      <c r="E91" s="400"/>
      <c r="F91" s="399"/>
      <c r="G91" s="399"/>
      <c r="H91" s="399"/>
      <c r="I91" s="50"/>
      <c r="J91" s="169"/>
      <c r="K91" s="169"/>
      <c r="L91" s="171"/>
      <c r="M91" s="171"/>
      <c r="N91" s="169"/>
      <c r="O91" s="169"/>
      <c r="P91" s="169"/>
      <c r="Q91" s="169"/>
      <c r="R91" s="170"/>
      <c r="S91" s="170"/>
      <c r="T91" s="169"/>
      <c r="U91" s="50"/>
      <c r="V91" s="169"/>
      <c r="W91" s="169"/>
      <c r="X91" s="169"/>
      <c r="Y91" s="50"/>
      <c r="Z91" s="169"/>
      <c r="AA91" s="169"/>
      <c r="AB91" s="170"/>
      <c r="AC91" s="50"/>
      <c r="AD91" s="291"/>
      <c r="AE91" s="2"/>
      <c r="AF91" s="269"/>
      <c r="AG91" s="450"/>
      <c r="AH91" s="270"/>
      <c r="AI91" s="270"/>
      <c r="AJ91" s="269"/>
      <c r="AK91" s="269"/>
      <c r="AL91" s="269"/>
      <c r="AM91" s="269"/>
      <c r="AN91" s="401"/>
      <c r="AO91" s="402"/>
      <c r="AP91" s="403"/>
      <c r="AQ91" s="270"/>
      <c r="AR91" s="269"/>
      <c r="AS91" s="269"/>
      <c r="AT91" s="269"/>
      <c r="AU91" s="386">
        <v>0.93</v>
      </c>
      <c r="AX91" s="387">
        <v>0.5</v>
      </c>
      <c r="BD91" s="21"/>
      <c r="BG91" s="332" t="e">
        <f t="shared" ca="1" si="2"/>
        <v>#N/A</v>
      </c>
      <c r="BH91" s="385">
        <f t="shared" ca="1" si="7"/>
        <v>43566</v>
      </c>
      <c r="BI91" s="4">
        <v>562</v>
      </c>
      <c r="BJ91" s="385">
        <f t="shared" ca="1" si="7"/>
        <v>43566</v>
      </c>
      <c r="BK91" s="4" t="e">
        <v>#N/A</v>
      </c>
      <c r="BL91" s="269">
        <f t="shared" ca="1" si="3"/>
        <v>0</v>
      </c>
      <c r="BM91" s="269">
        <f t="shared" ca="1" si="4"/>
        <v>0</v>
      </c>
      <c r="BN91" s="269">
        <f t="shared" ca="1" si="5"/>
        <v>0</v>
      </c>
      <c r="BO91" s="269">
        <f t="shared" ca="1" si="6"/>
        <v>0</v>
      </c>
    </row>
    <row r="92" spans="1:67" s="4" customFormat="1" ht="15">
      <c r="A92" s="381"/>
      <c r="C92" s="455"/>
      <c r="D92" s="400"/>
      <c r="E92" s="400"/>
      <c r="F92" s="399"/>
      <c r="G92" s="399"/>
      <c r="H92" s="399"/>
      <c r="I92" s="50"/>
      <c r="J92" s="169"/>
      <c r="K92" s="169"/>
      <c r="L92" s="171"/>
      <c r="M92" s="171"/>
      <c r="N92" s="169"/>
      <c r="O92" s="169"/>
      <c r="P92" s="169"/>
      <c r="Q92" s="169"/>
      <c r="R92" s="170"/>
      <c r="S92" s="170"/>
      <c r="T92" s="169"/>
      <c r="U92" s="50"/>
      <c r="V92" s="169"/>
      <c r="W92" s="169"/>
      <c r="X92" s="169"/>
      <c r="Y92" s="50"/>
      <c r="Z92" s="169"/>
      <c r="AA92" s="169"/>
      <c r="AB92" s="170"/>
      <c r="AC92" s="50"/>
      <c r="AD92" s="291"/>
      <c r="AE92" s="2"/>
      <c r="AF92" s="269"/>
      <c r="AG92" s="450"/>
      <c r="AH92" s="270"/>
      <c r="AI92" s="270"/>
      <c r="AJ92" s="269"/>
      <c r="AK92" s="269"/>
      <c r="AL92" s="269"/>
      <c r="AM92" s="269"/>
      <c r="AN92" s="401"/>
      <c r="AO92" s="402"/>
      <c r="AP92" s="403"/>
      <c r="AQ92" s="270"/>
      <c r="AR92" s="269"/>
      <c r="AS92" s="269"/>
      <c r="AT92" s="269"/>
      <c r="AU92" s="386">
        <v>0.92</v>
      </c>
      <c r="AX92" s="387"/>
      <c r="BD92" s="21"/>
      <c r="BG92" s="332" t="e">
        <f t="shared" ca="1" si="2"/>
        <v>#N/A</v>
      </c>
      <c r="BH92" s="385">
        <f t="shared" ca="1" si="7"/>
        <v>43567</v>
      </c>
      <c r="BI92" s="4">
        <v>562</v>
      </c>
      <c r="BJ92" s="385">
        <f t="shared" ca="1" si="7"/>
        <v>43567</v>
      </c>
      <c r="BK92" s="4" t="e">
        <v>#N/A</v>
      </c>
      <c r="BL92" s="269">
        <f t="shared" ca="1" si="3"/>
        <v>0</v>
      </c>
      <c r="BM92" s="269">
        <f t="shared" ca="1" si="4"/>
        <v>0</v>
      </c>
      <c r="BN92" s="269">
        <f t="shared" ca="1" si="5"/>
        <v>0</v>
      </c>
      <c r="BO92" s="269">
        <f t="shared" ca="1" si="6"/>
        <v>0</v>
      </c>
    </row>
    <row r="93" spans="1:67" s="4" customFormat="1" ht="15" thickBot="1">
      <c r="A93" s="381"/>
      <c r="C93" s="280"/>
      <c r="D93" s="280"/>
      <c r="E93" s="344"/>
      <c r="F93" s="269"/>
      <c r="G93" s="273"/>
      <c r="H93" s="268"/>
      <c r="I93" s="268"/>
      <c r="J93" s="268"/>
      <c r="K93" s="276"/>
      <c r="L93" s="268"/>
      <c r="M93" s="268"/>
      <c r="N93" s="268"/>
      <c r="O93" s="268"/>
      <c r="P93" s="268"/>
      <c r="Q93" s="169"/>
      <c r="R93" s="170"/>
      <c r="S93" s="170"/>
      <c r="T93" s="169"/>
      <c r="U93" s="50"/>
      <c r="V93" s="169"/>
      <c r="W93" s="169"/>
      <c r="X93" s="169"/>
      <c r="Y93" s="50"/>
      <c r="Z93" s="169"/>
      <c r="AA93" s="169"/>
      <c r="AB93" s="170"/>
      <c r="AC93" s="50"/>
      <c r="AD93" s="291"/>
      <c r="AE93" s="2"/>
      <c r="AF93" s="269"/>
      <c r="AG93" s="450"/>
      <c r="AH93" s="270"/>
      <c r="AI93" s="270"/>
      <c r="AJ93" s="269"/>
      <c r="AK93" s="269"/>
      <c r="AL93" s="269"/>
      <c r="AM93" s="269"/>
      <c r="AN93" s="269"/>
      <c r="AO93" s="269"/>
      <c r="AP93" s="269"/>
      <c r="AQ93" s="270"/>
      <c r="AR93" s="269"/>
      <c r="AS93" s="269"/>
      <c r="AT93" s="269"/>
      <c r="AU93" s="386">
        <v>0.91</v>
      </c>
      <c r="AX93" s="387"/>
      <c r="BD93" s="21"/>
      <c r="BG93" s="332" t="e">
        <f t="shared" ca="1" si="2"/>
        <v>#N/A</v>
      </c>
      <c r="BH93" s="385">
        <f t="shared" ca="1" si="7"/>
        <v>43568</v>
      </c>
      <c r="BI93" s="4">
        <v>562</v>
      </c>
      <c r="BJ93" s="385">
        <f t="shared" ca="1" si="7"/>
        <v>43568</v>
      </c>
      <c r="BK93" s="4" t="e">
        <v>#N/A</v>
      </c>
      <c r="BL93" s="269">
        <f t="shared" ca="1" si="3"/>
        <v>0</v>
      </c>
      <c r="BM93" s="269">
        <f t="shared" ca="1" si="4"/>
        <v>0</v>
      </c>
      <c r="BN93" s="269">
        <f t="shared" ca="1" si="5"/>
        <v>0</v>
      </c>
      <c r="BO93" s="269">
        <f t="shared" ca="1" si="6"/>
        <v>0</v>
      </c>
    </row>
    <row r="94" spans="1:67" s="4" customFormat="1" ht="14.25">
      <c r="A94" s="381"/>
      <c r="C94" s="280"/>
      <c r="D94" s="280"/>
      <c r="E94" s="344"/>
      <c r="F94" s="269"/>
      <c r="G94" s="273"/>
      <c r="H94" s="268"/>
      <c r="I94" s="268"/>
      <c r="J94" s="268"/>
      <c r="K94" s="276"/>
      <c r="L94" s="268"/>
      <c r="M94" s="268"/>
      <c r="N94" s="268"/>
      <c r="O94" s="268"/>
      <c r="P94" s="268"/>
      <c r="Q94" s="169"/>
      <c r="R94" s="170"/>
      <c r="S94" s="170"/>
      <c r="T94" s="169"/>
      <c r="U94" s="50"/>
      <c r="V94" s="169"/>
      <c r="W94" s="169"/>
      <c r="X94" s="169"/>
      <c r="Y94" s="50"/>
      <c r="Z94" s="169"/>
      <c r="AA94" s="169"/>
      <c r="AB94" s="170"/>
      <c r="AC94" s="50"/>
      <c r="AD94" s="291"/>
      <c r="AE94" s="2"/>
      <c r="AF94" s="269"/>
      <c r="AG94" s="450"/>
      <c r="AH94" s="270"/>
      <c r="AI94" s="270"/>
      <c r="AJ94" s="269"/>
      <c r="AK94" s="269"/>
      <c r="AL94" s="269"/>
      <c r="AM94" s="269"/>
      <c r="AN94" s="404" t="s">
        <v>13</v>
      </c>
      <c r="AO94" s="405"/>
      <c r="AP94" s="406"/>
      <c r="AQ94" s="270"/>
      <c r="AR94" s="269"/>
      <c r="AS94" s="269"/>
      <c r="AT94" s="269"/>
      <c r="AU94" s="386">
        <v>0.9</v>
      </c>
      <c r="AX94" s="387"/>
      <c r="BD94" s="21"/>
      <c r="BG94" s="332" t="e">
        <f t="shared" ca="1" si="2"/>
        <v>#N/A</v>
      </c>
      <c r="BH94" s="385">
        <f t="shared" ca="1" si="7"/>
        <v>43569</v>
      </c>
      <c r="BI94" s="4">
        <v>562</v>
      </c>
      <c r="BJ94" s="385">
        <f t="shared" ca="1" si="7"/>
        <v>43569</v>
      </c>
      <c r="BK94" s="4" t="e">
        <v>#N/A</v>
      </c>
      <c r="BL94" s="269">
        <f t="shared" ca="1" si="3"/>
        <v>0</v>
      </c>
      <c r="BM94" s="269">
        <f t="shared" ca="1" si="4"/>
        <v>0</v>
      </c>
      <c r="BN94" s="269">
        <f t="shared" ca="1" si="5"/>
        <v>0</v>
      </c>
      <c r="BO94" s="269">
        <f t="shared" ca="1" si="6"/>
        <v>0</v>
      </c>
    </row>
    <row r="95" spans="1:67" s="4" customFormat="1" ht="14.25">
      <c r="A95" s="381"/>
      <c r="C95" s="280"/>
      <c r="D95" s="280"/>
      <c r="E95" s="344"/>
      <c r="F95" s="269"/>
      <c r="G95" s="273"/>
      <c r="H95" s="268"/>
      <c r="I95" s="268"/>
      <c r="J95" s="47"/>
      <c r="K95" s="36"/>
      <c r="L95" s="180"/>
      <c r="M95" s="180"/>
      <c r="N95" s="180"/>
      <c r="O95" s="268"/>
      <c r="P95" s="268"/>
      <c r="Q95" s="169"/>
      <c r="R95" s="170"/>
      <c r="S95" s="170"/>
      <c r="T95" s="169"/>
      <c r="U95" s="50"/>
      <c r="V95" s="169"/>
      <c r="W95" s="169"/>
      <c r="X95" s="169"/>
      <c r="Y95" s="50"/>
      <c r="Z95" s="169"/>
      <c r="AA95" s="169"/>
      <c r="AB95" s="170"/>
      <c r="AC95" s="50"/>
      <c r="AD95" s="291"/>
      <c r="AE95" s="2"/>
      <c r="AF95" s="269"/>
      <c r="AG95" s="450"/>
      <c r="AH95" s="270"/>
      <c r="AI95" s="270"/>
      <c r="AJ95" s="269"/>
      <c r="AK95" s="269"/>
      <c r="AL95" s="269"/>
      <c r="AM95" s="269"/>
      <c r="AN95" s="301"/>
      <c r="AO95" s="43" t="s">
        <v>0</v>
      </c>
      <c r="AP95" s="407" t="s">
        <v>1</v>
      </c>
      <c r="AQ95" s="270"/>
      <c r="AS95" s="269"/>
      <c r="AT95" s="269"/>
      <c r="AU95" s="386">
        <v>0.89</v>
      </c>
      <c r="AX95" s="456" t="s">
        <v>216</v>
      </c>
      <c r="BD95" s="21"/>
      <c r="BG95" s="332" t="e">
        <f t="shared" ca="1" si="2"/>
        <v>#N/A</v>
      </c>
      <c r="BH95" s="385">
        <f t="shared" ca="1" si="7"/>
        <v>43570</v>
      </c>
      <c r="BI95" s="4">
        <v>562</v>
      </c>
      <c r="BJ95" s="385">
        <f t="shared" ca="1" si="7"/>
        <v>43570</v>
      </c>
      <c r="BK95" s="4" t="e">
        <v>#N/A</v>
      </c>
      <c r="BL95" s="269">
        <f t="shared" ca="1" si="3"/>
        <v>0</v>
      </c>
      <c r="BM95" s="269">
        <f t="shared" ca="1" si="4"/>
        <v>0</v>
      </c>
      <c r="BN95" s="269">
        <f t="shared" ca="1" si="5"/>
        <v>0</v>
      </c>
      <c r="BO95" s="269">
        <f t="shared" ca="1" si="6"/>
        <v>0</v>
      </c>
    </row>
    <row r="96" spans="1:67" s="4" customFormat="1" ht="14.25">
      <c r="A96" s="381"/>
      <c r="C96" s="280"/>
      <c r="D96" s="280"/>
      <c r="E96" s="344"/>
      <c r="F96" s="269"/>
      <c r="G96" s="273"/>
      <c r="H96" s="268"/>
      <c r="I96" s="268"/>
      <c r="J96" s="268"/>
      <c r="K96" s="276"/>
      <c r="L96" s="268"/>
      <c r="M96" s="268"/>
      <c r="N96" s="268"/>
      <c r="O96" s="268"/>
      <c r="P96" s="268"/>
      <c r="Q96" s="169"/>
      <c r="R96" s="170"/>
      <c r="S96" s="170"/>
      <c r="T96" s="169"/>
      <c r="U96" s="50"/>
      <c r="V96" s="169"/>
      <c r="W96" s="169"/>
      <c r="X96" s="169"/>
      <c r="Y96" s="50"/>
      <c r="Z96" s="169"/>
      <c r="AA96" s="169"/>
      <c r="AB96" s="170"/>
      <c r="AC96" s="50"/>
      <c r="AD96" s="291"/>
      <c r="AE96" s="2"/>
      <c r="AF96" s="269"/>
      <c r="AG96" s="450"/>
      <c r="AH96" s="270"/>
      <c r="AI96" s="270"/>
      <c r="AJ96" s="269"/>
      <c r="AK96" s="269"/>
      <c r="AL96" s="269"/>
      <c r="AM96" s="269"/>
      <c r="AN96" s="283" t="s">
        <v>207</v>
      </c>
      <c r="AO96" s="491">
        <f ca="1">VLOOKUP(D6,RMAData!A3:D117,3)</f>
        <v>43616</v>
      </c>
      <c r="AP96" s="489">
        <f ca="1">VLOOKUP('Corn Prevented Planting'!D6,RMAData!A3:D117,4)</f>
        <v>43636</v>
      </c>
      <c r="AQ96" s="270"/>
      <c r="AR96" s="269"/>
      <c r="AS96" s="269"/>
      <c r="AT96" s="269"/>
      <c r="AU96" s="386">
        <v>0.88</v>
      </c>
      <c r="AX96" s="387">
        <v>0.6</v>
      </c>
      <c r="BD96" s="21"/>
      <c r="BG96" s="332" t="e">
        <f t="shared" ca="1" si="2"/>
        <v>#N/A</v>
      </c>
      <c r="BH96" s="385">
        <f t="shared" ca="1" si="7"/>
        <v>43571</v>
      </c>
      <c r="BI96" s="4">
        <v>560.30472726438188</v>
      </c>
      <c r="BJ96" s="385">
        <f t="shared" ca="1" si="7"/>
        <v>43571</v>
      </c>
      <c r="BK96" s="4" t="e">
        <v>#N/A</v>
      </c>
      <c r="BL96" s="269">
        <f t="shared" ca="1" si="3"/>
        <v>0</v>
      </c>
      <c r="BM96" s="269">
        <f t="shared" ca="1" si="4"/>
        <v>0</v>
      </c>
      <c r="BN96" s="269">
        <f t="shared" ca="1" si="5"/>
        <v>0</v>
      </c>
      <c r="BO96" s="269">
        <f t="shared" ca="1" si="6"/>
        <v>0</v>
      </c>
    </row>
    <row r="97" spans="1:67" s="4" customFormat="1">
      <c r="A97" s="381"/>
      <c r="C97" s="399"/>
      <c r="D97" s="400"/>
      <c r="E97" s="400"/>
      <c r="F97" s="399"/>
      <c r="G97" s="399"/>
      <c r="H97" s="399"/>
      <c r="I97" s="50"/>
      <c r="J97" s="169"/>
      <c r="K97" s="169"/>
      <c r="L97" s="171"/>
      <c r="M97" s="171"/>
      <c r="N97" s="169"/>
      <c r="O97" s="169"/>
      <c r="P97" s="169"/>
      <c r="Q97" s="169"/>
      <c r="R97" s="170"/>
      <c r="S97" s="170"/>
      <c r="T97" s="169"/>
      <c r="U97" s="50"/>
      <c r="V97" s="169"/>
      <c r="W97" s="169"/>
      <c r="X97" s="169"/>
      <c r="Y97" s="50"/>
      <c r="Z97" s="169"/>
      <c r="AA97" s="169"/>
      <c r="AB97" s="170"/>
      <c r="AC97" s="50"/>
      <c r="AD97" s="291"/>
      <c r="AE97" s="2"/>
      <c r="AF97" s="269"/>
      <c r="AG97" s="450"/>
      <c r="AH97" s="270"/>
      <c r="AI97" s="270"/>
      <c r="AJ97" s="269"/>
      <c r="AK97" s="269"/>
      <c r="AL97" s="269"/>
      <c r="AM97" s="269"/>
      <c r="AN97" s="410" t="s">
        <v>257</v>
      </c>
      <c r="AO97" s="402">
        <v>20</v>
      </c>
      <c r="AP97" s="411">
        <v>25</v>
      </c>
      <c r="AQ97" s="270"/>
      <c r="AR97" s="269"/>
      <c r="AS97" s="269"/>
      <c r="AT97" s="269"/>
      <c r="AU97" s="386">
        <v>0.87</v>
      </c>
      <c r="AX97" s="387">
        <v>0.65</v>
      </c>
      <c r="BA97" s="6"/>
      <c r="BB97" s="6"/>
      <c r="BC97" s="6"/>
      <c r="BD97" s="21"/>
      <c r="BG97" s="332" t="e">
        <f t="shared" ca="1" si="2"/>
        <v>#N/A</v>
      </c>
      <c r="BH97" s="385">
        <f t="shared" ca="1" si="7"/>
        <v>43572</v>
      </c>
      <c r="BI97" s="4">
        <v>558.07059998238469</v>
      </c>
      <c r="BJ97" s="385">
        <f t="shared" ca="1" si="7"/>
        <v>43572</v>
      </c>
      <c r="BK97" s="4" t="e">
        <v>#N/A</v>
      </c>
      <c r="BL97" s="269">
        <f t="shared" ca="1" si="3"/>
        <v>0</v>
      </c>
      <c r="BM97" s="269">
        <f t="shared" ca="1" si="4"/>
        <v>0</v>
      </c>
      <c r="BN97" s="269">
        <f t="shared" ca="1" si="5"/>
        <v>0</v>
      </c>
      <c r="BO97" s="269">
        <f t="shared" ca="1" si="6"/>
        <v>0</v>
      </c>
    </row>
    <row r="98" spans="1:67" s="4" customFormat="1" ht="13.5" thickBot="1">
      <c r="A98" s="381"/>
      <c r="C98" s="399"/>
      <c r="D98" s="400"/>
      <c r="E98" s="400"/>
      <c r="F98" s="399"/>
      <c r="G98" s="399"/>
      <c r="H98" s="399"/>
      <c r="I98" s="50"/>
      <c r="J98" s="169"/>
      <c r="K98" s="169"/>
      <c r="L98" s="171"/>
      <c r="M98" s="171"/>
      <c r="N98" s="169"/>
      <c r="O98" s="169"/>
      <c r="P98" s="169"/>
      <c r="Q98" s="169"/>
      <c r="R98" s="170"/>
      <c r="S98" s="170"/>
      <c r="T98" s="169"/>
      <c r="U98" s="50"/>
      <c r="V98" s="169"/>
      <c r="W98" s="169"/>
      <c r="X98" s="169"/>
      <c r="Y98" s="50"/>
      <c r="Z98" s="169"/>
      <c r="AA98" s="169"/>
      <c r="AB98" s="170"/>
      <c r="AC98" s="50"/>
      <c r="AD98" s="291"/>
      <c r="AE98" s="2"/>
      <c r="AF98" s="269"/>
      <c r="AG98" s="450"/>
      <c r="AH98" s="270"/>
      <c r="AI98" s="270"/>
      <c r="AJ98" s="269"/>
      <c r="AK98" s="269"/>
      <c r="AL98" s="269"/>
      <c r="AM98" s="269"/>
      <c r="AN98" s="412" t="s">
        <v>200</v>
      </c>
      <c r="AO98" s="413">
        <f ca="1">VLOOKUP(D6,RMAData!A3:F117,5)</f>
        <v>43560</v>
      </c>
      <c r="AP98" s="414">
        <f ca="1">VLOOKUP(D6,RMAData!A3:F117,6)</f>
        <v>43575</v>
      </c>
      <c r="AQ98" s="270"/>
      <c r="AR98" s="269"/>
      <c r="AS98" s="269"/>
      <c r="AT98" s="269"/>
      <c r="AU98" s="386">
        <v>0.86</v>
      </c>
      <c r="AX98" s="387">
        <v>0.7</v>
      </c>
      <c r="BA98" s="6"/>
      <c r="BB98" s="6"/>
      <c r="BC98" s="6"/>
      <c r="BD98" s="21"/>
      <c r="BG98" s="332" t="e">
        <f t="shared" ca="1" si="2"/>
        <v>#N/A</v>
      </c>
      <c r="BH98" s="385">
        <f t="shared" ca="1" si="7"/>
        <v>43573</v>
      </c>
      <c r="BI98" s="4">
        <v>555.78601817203685</v>
      </c>
      <c r="BJ98" s="385">
        <f t="shared" ca="1" si="7"/>
        <v>43573</v>
      </c>
      <c r="BK98" s="4" t="e">
        <v>#N/A</v>
      </c>
      <c r="BL98" s="269">
        <f t="shared" ca="1" si="3"/>
        <v>0</v>
      </c>
      <c r="BM98" s="269">
        <f t="shared" ca="1" si="4"/>
        <v>0</v>
      </c>
      <c r="BN98" s="269">
        <f t="shared" ca="1" si="5"/>
        <v>0</v>
      </c>
      <c r="BO98" s="269">
        <f t="shared" ca="1" si="6"/>
        <v>0</v>
      </c>
    </row>
    <row r="99" spans="1:67" s="4" customFormat="1">
      <c r="A99" s="381"/>
      <c r="C99" s="399"/>
      <c r="D99" s="400"/>
      <c r="E99" s="400"/>
      <c r="F99" s="399"/>
      <c r="G99" s="399"/>
      <c r="H99" s="399"/>
      <c r="I99" s="50"/>
      <c r="J99" s="169"/>
      <c r="K99" s="169"/>
      <c r="L99" s="171"/>
      <c r="M99" s="171"/>
      <c r="N99" s="169"/>
      <c r="O99" s="169"/>
      <c r="P99" s="169"/>
      <c r="Q99" s="169"/>
      <c r="R99" s="170"/>
      <c r="S99" s="170"/>
      <c r="T99" s="169"/>
      <c r="U99" s="50"/>
      <c r="V99" s="169"/>
      <c r="W99" s="169"/>
      <c r="X99" s="169"/>
      <c r="Y99" s="50"/>
      <c r="Z99" s="169"/>
      <c r="AA99" s="169"/>
      <c r="AB99" s="170"/>
      <c r="AC99" s="50"/>
      <c r="AD99" s="291"/>
      <c r="AE99" s="2"/>
      <c r="AF99" s="269"/>
      <c r="AG99" s="450"/>
      <c r="AH99" s="270"/>
      <c r="AI99" s="270"/>
      <c r="AJ99" s="269"/>
      <c r="AK99" s="269"/>
      <c r="AL99" s="269"/>
      <c r="AM99" s="269"/>
      <c r="AO99" s="385"/>
      <c r="AP99" s="270"/>
      <c r="AQ99" s="270"/>
      <c r="AR99" s="269"/>
      <c r="AS99" s="269"/>
      <c r="AT99" s="269"/>
      <c r="AU99" s="386"/>
      <c r="AX99" s="387"/>
      <c r="BA99" s="401"/>
      <c r="BB99" s="402"/>
      <c r="BC99" s="403"/>
      <c r="BD99" s="21"/>
      <c r="BG99" s="332" t="e">
        <f ca="1">IF(BH99&lt;$AO$96+$AO$97,NA(),$P$51)</f>
        <v>#N/A</v>
      </c>
      <c r="BH99" s="385">
        <f t="shared" ca="1" si="7"/>
        <v>43574</v>
      </c>
      <c r="BI99" s="4">
        <v>553.45098180232571</v>
      </c>
      <c r="BJ99" s="385">
        <f t="shared" ca="1" si="7"/>
        <v>43574</v>
      </c>
      <c r="BK99" s="4" t="e">
        <v>#N/A</v>
      </c>
      <c r="BL99" s="269">
        <f t="shared" ca="1" si="3"/>
        <v>0</v>
      </c>
      <c r="BM99" s="269">
        <f t="shared" ca="1" si="4"/>
        <v>0</v>
      </c>
      <c r="BN99" s="269">
        <f t="shared" ca="1" si="5"/>
        <v>0</v>
      </c>
      <c r="BO99" s="269">
        <f t="shared" ca="1" si="6"/>
        <v>0</v>
      </c>
    </row>
    <row r="100" spans="1:67" s="4" customFormat="1">
      <c r="A100" s="381"/>
      <c r="C100" s="399"/>
      <c r="D100" s="400"/>
      <c r="E100" s="400"/>
      <c r="F100" s="399"/>
      <c r="G100" s="399"/>
      <c r="H100" s="399"/>
      <c r="I100" s="50"/>
      <c r="J100" s="169"/>
      <c r="K100" s="169"/>
      <c r="L100" s="171"/>
      <c r="M100" s="171"/>
      <c r="N100" s="169"/>
      <c r="O100" s="169"/>
      <c r="P100" s="169"/>
      <c r="Q100" s="169"/>
      <c r="R100" s="170"/>
      <c r="S100" s="170"/>
      <c r="T100" s="169"/>
      <c r="U100" s="50"/>
      <c r="V100" s="169"/>
      <c r="W100" s="169"/>
      <c r="X100" s="169"/>
      <c r="Y100" s="50"/>
      <c r="Z100" s="169"/>
      <c r="AA100" s="169"/>
      <c r="AB100" s="170"/>
      <c r="AC100" s="50"/>
      <c r="AD100" s="291"/>
      <c r="AE100" s="2"/>
      <c r="AF100" s="269"/>
      <c r="AG100" s="450"/>
      <c r="AH100" s="270"/>
      <c r="AI100" s="270"/>
      <c r="AJ100" s="269"/>
      <c r="AK100" s="269"/>
      <c r="AL100" s="269"/>
      <c r="AM100" s="269"/>
      <c r="AO100" s="385"/>
      <c r="AP100" s="270"/>
      <c r="AQ100" s="270"/>
      <c r="AR100" s="269"/>
      <c r="AS100" s="269"/>
      <c r="AT100" s="269"/>
      <c r="AU100" s="386"/>
      <c r="AX100" s="387"/>
      <c r="BA100" s="401"/>
      <c r="BB100" s="402"/>
      <c r="BC100" s="403"/>
      <c r="BD100" s="21"/>
      <c r="BG100" s="332" t="e">
        <f t="shared" ca="1" si="2"/>
        <v>#N/A</v>
      </c>
      <c r="BH100" s="385">
        <f t="shared" ca="1" si="7"/>
        <v>43575</v>
      </c>
      <c r="BI100" s="4">
        <v>551.06549089806163</v>
      </c>
      <c r="BJ100" s="385">
        <f t="shared" ca="1" si="7"/>
        <v>43575</v>
      </c>
      <c r="BK100" s="4">
        <v>428.77275508902966</v>
      </c>
      <c r="BL100" s="269">
        <f t="shared" ca="1" si="3"/>
        <v>0</v>
      </c>
      <c r="BM100" s="269">
        <f t="shared" ca="1" si="4"/>
        <v>0</v>
      </c>
      <c r="BN100" s="269">
        <f t="shared" ca="1" si="5"/>
        <v>1000</v>
      </c>
      <c r="BO100" s="269">
        <f t="shared" ca="1" si="6"/>
        <v>0</v>
      </c>
    </row>
    <row r="101" spans="1:67" s="4" customFormat="1">
      <c r="A101" s="381"/>
      <c r="C101" s="399"/>
      <c r="D101" s="400"/>
      <c r="E101" s="400"/>
      <c r="F101" s="399"/>
      <c r="G101" s="399"/>
      <c r="H101" s="399"/>
      <c r="I101" s="50"/>
      <c r="J101" s="169"/>
      <c r="K101" s="169"/>
      <c r="L101" s="171"/>
      <c r="M101" s="171"/>
      <c r="N101" s="169"/>
      <c r="O101" s="169"/>
      <c r="P101" s="169"/>
      <c r="Q101" s="169"/>
      <c r="R101" s="170"/>
      <c r="S101" s="170"/>
      <c r="T101" s="169"/>
      <c r="U101" s="50"/>
      <c r="V101" s="169"/>
      <c r="W101" s="169"/>
      <c r="X101" s="169"/>
      <c r="Y101" s="50"/>
      <c r="Z101" s="169"/>
      <c r="AA101" s="169"/>
      <c r="AB101" s="170"/>
      <c r="AC101" s="50"/>
      <c r="AD101" s="291"/>
      <c r="AE101" s="2"/>
      <c r="AF101" s="269"/>
      <c r="AG101" s="450"/>
      <c r="AH101" s="269"/>
      <c r="AI101" s="269"/>
      <c r="AJ101" s="269"/>
      <c r="AK101" s="269"/>
      <c r="AL101" s="269"/>
      <c r="AM101" s="269"/>
      <c r="AN101" s="345" t="s">
        <v>167</v>
      </c>
      <c r="AO101" s="385" t="str">
        <f>VLOOKUP(D6,RMAData!A3:D117,2)</f>
        <v>Central and North MO</v>
      </c>
      <c r="AQ101" s="268"/>
      <c r="AS101" s="269"/>
      <c r="AT101" s="269"/>
      <c r="AU101" s="386"/>
      <c r="AX101" s="387"/>
      <c r="BA101" s="401"/>
      <c r="BB101" s="402"/>
      <c r="BC101" s="403"/>
      <c r="BD101" s="21"/>
      <c r="BG101" s="332" t="e">
        <f t="shared" ca="1" si="2"/>
        <v>#N/A</v>
      </c>
      <c r="BH101" s="385">
        <f t="shared" ca="1" si="7"/>
        <v>43576</v>
      </c>
      <c r="BI101" s="4">
        <v>548.62954544683919</v>
      </c>
      <c r="BJ101" s="385">
        <f t="shared" ca="1" si="7"/>
        <v>43576</v>
      </c>
      <c r="BK101" s="4">
        <v>430.28894556751476</v>
      </c>
      <c r="BL101" s="269">
        <f t="shared" ca="1" si="3"/>
        <v>0</v>
      </c>
      <c r="BM101" s="269">
        <f t="shared" ca="1" si="4"/>
        <v>0</v>
      </c>
      <c r="BN101" s="269">
        <f t="shared" ca="1" si="5"/>
        <v>0</v>
      </c>
      <c r="BO101" s="269">
        <f t="shared" ca="1" si="6"/>
        <v>0</v>
      </c>
    </row>
    <row r="102" spans="1:67" s="4" customFormat="1">
      <c r="A102" s="381"/>
      <c r="C102" s="383"/>
      <c r="D102" s="457"/>
      <c r="E102" s="457"/>
      <c r="F102" s="421"/>
      <c r="G102" s="421"/>
      <c r="H102" s="55"/>
      <c r="I102" s="50"/>
      <c r="J102" s="23"/>
      <c r="K102" s="23"/>
      <c r="L102" s="23"/>
      <c r="M102" s="23"/>
      <c r="N102" s="23"/>
      <c r="O102" s="50"/>
      <c r="P102" s="458"/>
      <c r="Q102" s="458"/>
      <c r="R102" s="458"/>
      <c r="S102" s="458"/>
      <c r="T102" s="458"/>
      <c r="U102" s="50"/>
      <c r="V102" s="23"/>
      <c r="W102" s="23"/>
      <c r="X102" s="23"/>
      <c r="Y102" s="50"/>
      <c r="Z102" s="23"/>
      <c r="AA102" s="23"/>
      <c r="AB102" s="458"/>
      <c r="AC102" s="50"/>
      <c r="AD102" s="291"/>
      <c r="AE102" s="2"/>
      <c r="AF102" s="269"/>
      <c r="AG102" s="450"/>
      <c r="AH102" s="269"/>
      <c r="AI102" s="269"/>
      <c r="AJ102" s="269"/>
      <c r="AK102" s="269"/>
      <c r="AL102" s="269"/>
      <c r="AM102" s="269"/>
      <c r="AN102" s="268"/>
      <c r="AO102" s="268"/>
      <c r="AP102" s="269"/>
      <c r="AQ102" s="269"/>
      <c r="AS102" s="269"/>
      <c r="AT102" s="269"/>
      <c r="AU102" s="386"/>
      <c r="BD102" s="268"/>
      <c r="BG102" s="332" t="e">
        <f t="shared" ca="1" si="2"/>
        <v>#N/A</v>
      </c>
      <c r="BH102" s="385">
        <f t="shared" ca="1" si="7"/>
        <v>43577</v>
      </c>
      <c r="BI102" s="4">
        <v>546.14314544245599</v>
      </c>
      <c r="BJ102" s="385">
        <f t="shared" ca="1" si="7"/>
        <v>43577</v>
      </c>
      <c r="BK102" s="4">
        <v>431.70360544510186</v>
      </c>
      <c r="BL102" s="269">
        <f t="shared" ca="1" si="3"/>
        <v>0</v>
      </c>
      <c r="BM102" s="269">
        <f t="shared" ca="1" si="4"/>
        <v>0</v>
      </c>
      <c r="BN102" s="269">
        <f t="shared" ca="1" si="5"/>
        <v>0</v>
      </c>
      <c r="BO102" s="269">
        <f t="shared" ca="1" si="6"/>
        <v>0</v>
      </c>
    </row>
    <row r="103" spans="1:67" s="4" customFormat="1">
      <c r="A103" s="381"/>
      <c r="C103" s="383"/>
      <c r="D103" s="383"/>
      <c r="E103" s="383"/>
      <c r="F103" s="421"/>
      <c r="G103" s="421"/>
      <c r="H103" s="55"/>
      <c r="I103" s="50"/>
      <c r="J103" s="23"/>
      <c r="K103" s="23"/>
      <c r="L103" s="23"/>
      <c r="M103" s="23"/>
      <c r="N103" s="23"/>
      <c r="O103" s="50"/>
      <c r="P103" s="458"/>
      <c r="Q103" s="458"/>
      <c r="R103" s="458"/>
      <c r="S103" s="458"/>
      <c r="T103" s="458"/>
      <c r="U103" s="50"/>
      <c r="V103" s="23"/>
      <c r="W103" s="23"/>
      <c r="X103" s="23"/>
      <c r="Y103" s="50"/>
      <c r="Z103" s="23"/>
      <c r="AA103" s="23"/>
      <c r="AB103" s="458"/>
      <c r="AC103" s="50"/>
      <c r="AD103" s="291"/>
      <c r="AE103" s="2"/>
      <c r="AF103" s="269"/>
      <c r="AG103" s="450"/>
      <c r="AH103" s="269"/>
      <c r="AI103" s="269"/>
      <c r="AJ103" s="269"/>
      <c r="AK103" s="269"/>
      <c r="AL103" s="269"/>
      <c r="AM103" s="269"/>
      <c r="AN103" s="43"/>
      <c r="AO103" s="21" t="s">
        <v>243</v>
      </c>
      <c r="AP103" s="268"/>
      <c r="AQ103" s="268"/>
      <c r="AS103" s="269"/>
      <c r="AT103" s="269"/>
      <c r="AU103" s="386"/>
      <c r="BA103" s="268"/>
      <c r="BB103" s="268"/>
      <c r="BC103" s="269"/>
      <c r="BD103" s="269"/>
      <c r="BG103" s="332" t="e">
        <f t="shared" ca="1" si="2"/>
        <v>#N/A</v>
      </c>
      <c r="BH103" s="385">
        <f t="shared" ref="BH103:BJ118" ca="1" si="8">BH102+1</f>
        <v>43578</v>
      </c>
      <c r="BI103" s="4">
        <v>543.60629090351983</v>
      </c>
      <c r="BJ103" s="385">
        <f t="shared" ca="1" si="8"/>
        <v>43578</v>
      </c>
      <c r="BK103" s="4">
        <v>433.01673470325767</v>
      </c>
      <c r="BL103" s="269">
        <f t="shared" ca="1" si="3"/>
        <v>0</v>
      </c>
      <c r="BM103" s="269">
        <f t="shared" ca="1" si="4"/>
        <v>0</v>
      </c>
      <c r="BN103" s="269">
        <f t="shared" ca="1" si="5"/>
        <v>0</v>
      </c>
      <c r="BO103" s="269">
        <f t="shared" ca="1" si="6"/>
        <v>0</v>
      </c>
    </row>
    <row r="104" spans="1:67" s="4" customFormat="1">
      <c r="A104" s="381"/>
      <c r="C104" s="383"/>
      <c r="D104" s="383"/>
      <c r="E104" s="383"/>
      <c r="F104" s="421"/>
      <c r="G104" s="421"/>
      <c r="H104" s="55"/>
      <c r="I104" s="50"/>
      <c r="J104" s="23"/>
      <c r="K104" s="23"/>
      <c r="L104" s="23"/>
      <c r="M104" s="23"/>
      <c r="N104" s="23"/>
      <c r="O104" s="50"/>
      <c r="P104" s="458"/>
      <c r="Q104" s="458"/>
      <c r="R104" s="458"/>
      <c r="S104" s="458"/>
      <c r="T104" s="458"/>
      <c r="U104" s="50"/>
      <c r="V104" s="23"/>
      <c r="W104" s="23"/>
      <c r="X104" s="23"/>
      <c r="Y104" s="50"/>
      <c r="Z104" s="23"/>
      <c r="AA104" s="23"/>
      <c r="AB104" s="458"/>
      <c r="AC104" s="50"/>
      <c r="AD104" s="291"/>
      <c r="AE104" s="2"/>
      <c r="AF104" s="269"/>
      <c r="AG104" s="450"/>
      <c r="AH104" s="269"/>
      <c r="AI104" s="269"/>
      <c r="AJ104" s="269"/>
      <c r="AK104" s="269"/>
      <c r="AL104" s="269"/>
      <c r="AM104" s="269"/>
      <c r="AN104" s="418"/>
      <c r="AO104" s="419" t="s">
        <v>0</v>
      </c>
      <c r="AP104" s="21" t="s">
        <v>241</v>
      </c>
      <c r="AQ104" s="268"/>
      <c r="AS104" s="269"/>
      <c r="AT104" s="269"/>
      <c r="AU104" s="386"/>
      <c r="BA104" s="43"/>
      <c r="BB104" s="268"/>
      <c r="BC104" s="268"/>
      <c r="BD104" s="268"/>
      <c r="BG104" s="332" t="e">
        <f t="shared" ca="1" si="2"/>
        <v>#N/A</v>
      </c>
      <c r="BH104" s="385">
        <f t="shared" ca="1" si="8"/>
        <v>43579</v>
      </c>
      <c r="BI104" s="4">
        <v>541.01898180522016</v>
      </c>
      <c r="BJ104" s="385">
        <f t="shared" ca="1" si="8"/>
        <v>43579</v>
      </c>
      <c r="BK104" s="4">
        <v>434.22833330491557</v>
      </c>
      <c r="BL104" s="269">
        <f t="shared" ca="1" si="3"/>
        <v>0</v>
      </c>
      <c r="BM104" s="269">
        <f t="shared" ca="1" si="4"/>
        <v>0</v>
      </c>
      <c r="BN104" s="269">
        <f t="shared" ca="1" si="5"/>
        <v>0</v>
      </c>
      <c r="BO104" s="269">
        <f t="shared" ca="1" si="6"/>
        <v>0</v>
      </c>
    </row>
    <row r="105" spans="1:67" s="4" customFormat="1">
      <c r="A105" s="381"/>
      <c r="C105" s="383"/>
      <c r="D105" s="383"/>
      <c r="E105" s="383"/>
      <c r="F105" s="421"/>
      <c r="G105" s="421"/>
      <c r="H105" s="55"/>
      <c r="I105" s="50"/>
      <c r="J105" s="23"/>
      <c r="K105" s="23"/>
      <c r="L105" s="23"/>
      <c r="M105" s="23"/>
      <c r="N105" s="23"/>
      <c r="O105" s="50"/>
      <c r="P105" s="458"/>
      <c r="Q105" s="458"/>
      <c r="R105" s="458"/>
      <c r="S105" s="458"/>
      <c r="T105" s="458"/>
      <c r="U105" s="50"/>
      <c r="V105" s="23"/>
      <c r="W105" s="23"/>
      <c r="X105" s="23"/>
      <c r="Y105" s="50"/>
      <c r="Z105" s="23"/>
      <c r="AA105" s="23"/>
      <c r="AB105" s="458"/>
      <c r="AC105" s="50"/>
      <c r="AD105" s="291"/>
      <c r="AE105" s="2"/>
      <c r="AF105" s="269"/>
      <c r="AG105" s="450"/>
      <c r="AH105" s="269"/>
      <c r="AI105" s="269"/>
      <c r="AJ105" s="269"/>
      <c r="AK105" s="269"/>
      <c r="AL105" s="269"/>
      <c r="AM105" s="269"/>
      <c r="AN105" s="345" t="s">
        <v>252</v>
      </c>
      <c r="AO105" s="420">
        <f ca="1">DATE(YEAR(F15)-RMAData!$L$5,MONTH(F15),DAY(F15))</f>
        <v>41061</v>
      </c>
      <c r="AP105" s="420">
        <f ca="1">DATE(YEAR(H15)-RMAData!$L$5,MONTH(H15),DAY(H15))</f>
        <v>41060</v>
      </c>
      <c r="AR105" s="273"/>
      <c r="AS105" s="269"/>
      <c r="AT105" s="269"/>
      <c r="AU105" s="386"/>
      <c r="BA105" s="418"/>
      <c r="BB105" s="418"/>
      <c r="BC105" s="268"/>
      <c r="BD105" s="268"/>
      <c r="BG105" s="332" t="e">
        <f t="shared" ca="1" si="2"/>
        <v>#N/A</v>
      </c>
      <c r="BH105" s="385">
        <f t="shared" ca="1" si="8"/>
        <v>43580</v>
      </c>
      <c r="BI105" s="4">
        <v>538.38121817236765</v>
      </c>
      <c r="BJ105" s="385">
        <f t="shared" ca="1" si="8"/>
        <v>43580</v>
      </c>
      <c r="BK105" s="4">
        <v>435.3384013242088</v>
      </c>
      <c r="BL105" s="269">
        <f t="shared" ca="1" si="3"/>
        <v>0</v>
      </c>
      <c r="BM105" s="269">
        <f t="shared" ca="1" si="4"/>
        <v>0</v>
      </c>
      <c r="BN105" s="269">
        <f t="shared" ca="1" si="5"/>
        <v>0</v>
      </c>
      <c r="BO105" s="269">
        <f t="shared" ca="1" si="6"/>
        <v>0</v>
      </c>
    </row>
    <row r="106" spans="1:67" s="4" customFormat="1" ht="14.25">
      <c r="A106" s="381"/>
      <c r="C106" s="383"/>
      <c r="D106" s="383"/>
      <c r="E106" s="383"/>
      <c r="F106" s="421"/>
      <c r="G106" s="421"/>
      <c r="H106" s="55"/>
      <c r="I106" s="50"/>
      <c r="J106" s="23"/>
      <c r="K106" s="23"/>
      <c r="L106" s="23"/>
      <c r="M106" s="23"/>
      <c r="N106" s="23"/>
      <c r="O106" s="50"/>
      <c r="P106" s="458"/>
      <c r="Q106" s="458"/>
      <c r="R106" s="458"/>
      <c r="S106" s="458"/>
      <c r="T106" s="458"/>
      <c r="U106" s="50"/>
      <c r="V106" s="23"/>
      <c r="W106" s="23"/>
      <c r="X106" s="23"/>
      <c r="Y106" s="50"/>
      <c r="Z106" s="23"/>
      <c r="AA106" s="23"/>
      <c r="AB106" s="458"/>
      <c r="AC106" s="50"/>
      <c r="AD106" s="291"/>
      <c r="AE106" s="2"/>
      <c r="AF106" s="269"/>
      <c r="AG106" s="450"/>
      <c r="AH106" s="269"/>
      <c r="AI106" s="269"/>
      <c r="AJ106" s="269"/>
      <c r="AK106" s="269"/>
      <c r="AL106" s="269"/>
      <c r="AM106" s="269"/>
      <c r="AN106" s="19"/>
      <c r="AO106" s="280"/>
      <c r="AP106" s="344"/>
      <c r="AQ106" s="269"/>
      <c r="AR106" s="273"/>
      <c r="AS106" s="269"/>
      <c r="AT106" s="269"/>
      <c r="AU106" s="386"/>
      <c r="BA106" s="43"/>
      <c r="BB106" s="268"/>
      <c r="BC106" s="268"/>
      <c r="BD106" s="268"/>
      <c r="BG106" s="332" t="e">
        <f t="shared" ca="1" si="2"/>
        <v>#N/A</v>
      </c>
      <c r="BH106" s="385">
        <f t="shared" ca="1" si="8"/>
        <v>43581</v>
      </c>
      <c r="BI106" s="4">
        <v>535.69299998635427</v>
      </c>
      <c r="BJ106" s="385">
        <f t="shared" ca="1" si="8"/>
        <v>43581</v>
      </c>
      <c r="BK106" s="4">
        <v>436.3469387426041</v>
      </c>
      <c r="BL106" s="269">
        <f t="shared" ca="1" si="3"/>
        <v>0</v>
      </c>
      <c r="BM106" s="269">
        <f t="shared" ca="1" si="4"/>
        <v>0</v>
      </c>
      <c r="BN106" s="269">
        <f t="shared" ca="1" si="5"/>
        <v>0</v>
      </c>
      <c r="BO106" s="269">
        <f t="shared" ca="1" si="6"/>
        <v>0</v>
      </c>
    </row>
    <row r="107" spans="1:67" s="4" customFormat="1">
      <c r="A107" s="381"/>
      <c r="C107" s="383"/>
      <c r="D107" s="383"/>
      <c r="E107" s="383"/>
      <c r="F107" s="421"/>
      <c r="G107" s="421"/>
      <c r="H107" s="55"/>
      <c r="I107" s="50"/>
      <c r="J107" s="23"/>
      <c r="K107" s="23"/>
      <c r="L107" s="23"/>
      <c r="M107" s="23"/>
      <c r="N107" s="23"/>
      <c r="O107" s="50"/>
      <c r="P107" s="458"/>
      <c r="Q107" s="458"/>
      <c r="R107" s="458"/>
      <c r="S107" s="458"/>
      <c r="T107" s="458"/>
      <c r="U107" s="50"/>
      <c r="V107" s="23"/>
      <c r="W107" s="23"/>
      <c r="X107" s="23"/>
      <c r="Y107" s="50"/>
      <c r="Z107" s="23"/>
      <c r="AA107" s="23"/>
      <c r="AB107" s="458"/>
      <c r="AC107" s="50"/>
      <c r="AD107" s="291"/>
      <c r="AE107" s="2"/>
      <c r="AF107" s="269"/>
      <c r="AG107" s="450"/>
      <c r="AH107" s="269"/>
      <c r="AI107" s="269"/>
      <c r="AJ107" s="269"/>
      <c r="AK107" s="269"/>
      <c r="AL107" s="269"/>
      <c r="AM107" s="269"/>
      <c r="AR107" s="399"/>
      <c r="AS107" s="269"/>
      <c r="AT107" s="269"/>
      <c r="AU107" s="386"/>
      <c r="BA107" s="418"/>
      <c r="BB107" s="418"/>
      <c r="BC107" s="268"/>
      <c r="BD107" s="268"/>
      <c r="BG107" s="332" t="e">
        <f t="shared" ca="1" si="2"/>
        <v>#N/A</v>
      </c>
      <c r="BH107" s="385">
        <f t="shared" ca="1" si="8"/>
        <v>43582</v>
      </c>
      <c r="BI107" s="4">
        <v>532.95432725958528</v>
      </c>
      <c r="BJ107" s="385">
        <f t="shared" ca="1" si="8"/>
        <v>43582</v>
      </c>
      <c r="BK107" s="4">
        <v>437.25394556010144</v>
      </c>
      <c r="BL107" s="269">
        <f t="shared" ca="1" si="3"/>
        <v>0</v>
      </c>
      <c r="BM107" s="269">
        <f t="shared" ca="1" si="4"/>
        <v>0</v>
      </c>
      <c r="BN107" s="269">
        <f t="shared" ca="1" si="5"/>
        <v>0</v>
      </c>
      <c r="BO107" s="269">
        <f t="shared" ca="1" si="6"/>
        <v>0</v>
      </c>
    </row>
    <row r="108" spans="1:67" s="4" customFormat="1">
      <c r="A108" s="381"/>
      <c r="C108" s="383"/>
      <c r="D108" s="383"/>
      <c r="E108" s="383"/>
      <c r="F108" s="421"/>
      <c r="G108" s="421"/>
      <c r="H108" s="55"/>
      <c r="I108" s="50"/>
      <c r="J108" s="23"/>
      <c r="K108" s="23"/>
      <c r="L108" s="23"/>
      <c r="M108" s="23"/>
      <c r="N108" s="23"/>
      <c r="O108" s="50"/>
      <c r="P108" s="458"/>
      <c r="Q108" s="458"/>
      <c r="R108" s="458"/>
      <c r="S108" s="458"/>
      <c r="T108" s="458"/>
      <c r="U108" s="50"/>
      <c r="V108" s="23"/>
      <c r="W108" s="23"/>
      <c r="X108" s="23"/>
      <c r="Y108" s="50"/>
      <c r="Z108" s="23"/>
      <c r="AA108" s="23"/>
      <c r="AB108" s="458"/>
      <c r="AC108" s="50"/>
      <c r="AD108" s="291"/>
      <c r="AE108" s="2"/>
      <c r="AF108" s="269"/>
      <c r="AG108" s="450"/>
      <c r="AH108" s="269"/>
      <c r="AI108" s="269"/>
      <c r="AJ108" s="269"/>
      <c r="AK108" s="269"/>
      <c r="AL108" s="269"/>
      <c r="AM108" s="269"/>
      <c r="AN108" s="399"/>
      <c r="AO108" s="422"/>
      <c r="AP108" s="400"/>
      <c r="AQ108" s="399"/>
      <c r="AR108" s="399"/>
      <c r="AS108" s="269"/>
      <c r="AT108" s="269"/>
      <c r="AU108" s="386"/>
      <c r="BA108" s="276"/>
      <c r="BB108" s="268"/>
      <c r="BC108" s="268"/>
      <c r="BD108" s="268"/>
      <c r="BG108" s="332" t="e">
        <f t="shared" ca="1" si="2"/>
        <v>#N/A</v>
      </c>
      <c r="BH108" s="385">
        <f t="shared" ca="1" si="8"/>
        <v>43583</v>
      </c>
      <c r="BI108" s="4">
        <v>530.16519997965543</v>
      </c>
      <c r="BJ108" s="385">
        <f t="shared" ref="BJ108:BJ171" ca="1" si="9">BH108</f>
        <v>43583</v>
      </c>
      <c r="BK108" s="4">
        <v>438.05942175816745</v>
      </c>
      <c r="BL108" s="269">
        <f t="shared" ca="1" si="3"/>
        <v>0</v>
      </c>
      <c r="BM108" s="269">
        <f t="shared" ca="1" si="4"/>
        <v>0</v>
      </c>
      <c r="BN108" s="269">
        <f t="shared" ca="1" si="5"/>
        <v>0</v>
      </c>
      <c r="BO108" s="269">
        <f t="shared" ca="1" si="6"/>
        <v>0</v>
      </c>
    </row>
    <row r="109" spans="1:67" s="4" customFormat="1">
      <c r="A109" s="381"/>
      <c r="C109" s="383"/>
      <c r="D109" s="383"/>
      <c r="E109" s="383"/>
      <c r="F109" s="421"/>
      <c r="G109" s="421"/>
      <c r="H109" s="55"/>
      <c r="I109" s="50"/>
      <c r="J109" s="23"/>
      <c r="K109" s="23"/>
      <c r="L109" s="23"/>
      <c r="M109" s="23"/>
      <c r="N109" s="23"/>
      <c r="O109" s="50"/>
      <c r="P109" s="458"/>
      <c r="Q109" s="458"/>
      <c r="R109" s="458"/>
      <c r="S109" s="458"/>
      <c r="T109" s="458"/>
      <c r="U109" s="50"/>
      <c r="V109" s="23"/>
      <c r="W109" s="23"/>
      <c r="X109" s="23"/>
      <c r="Y109" s="50"/>
      <c r="Z109" s="23"/>
      <c r="AA109" s="23"/>
      <c r="AB109" s="458"/>
      <c r="AC109" s="50"/>
      <c r="AD109" s="291"/>
      <c r="AE109" s="2"/>
      <c r="AF109" s="269"/>
      <c r="AG109" s="450"/>
      <c r="AH109" s="269"/>
      <c r="AI109" s="269"/>
      <c r="AJ109" s="269"/>
      <c r="AK109" s="269"/>
      <c r="AL109" s="269"/>
      <c r="AM109" s="269"/>
      <c r="AN109" s="399"/>
      <c r="AO109" s="400"/>
      <c r="AP109" s="400"/>
      <c r="AQ109" s="399"/>
      <c r="AR109" s="399"/>
      <c r="AS109" s="269"/>
      <c r="AT109" s="269"/>
      <c r="AU109" s="386"/>
      <c r="BA109" s="6"/>
      <c r="BB109" s="6"/>
      <c r="BG109" s="332" t="e">
        <f t="shared" ca="1" si="2"/>
        <v>#N/A</v>
      </c>
      <c r="BH109" s="385">
        <f t="shared" ca="1" si="8"/>
        <v>43584</v>
      </c>
      <c r="BI109" s="4">
        <v>527.32561817137525</v>
      </c>
      <c r="BJ109" s="385">
        <f t="shared" ca="1" si="9"/>
        <v>43584</v>
      </c>
      <c r="BK109" s="4">
        <v>438.76336733680216</v>
      </c>
      <c r="BL109" s="269">
        <f t="shared" ca="1" si="3"/>
        <v>0</v>
      </c>
      <c r="BM109" s="269">
        <f t="shared" ca="1" si="4"/>
        <v>0</v>
      </c>
      <c r="BN109" s="269">
        <f t="shared" ca="1" si="5"/>
        <v>0</v>
      </c>
      <c r="BO109" s="269">
        <f t="shared" ca="1" si="6"/>
        <v>0</v>
      </c>
    </row>
    <row r="110" spans="1:67" s="4" customFormat="1">
      <c r="A110" s="381"/>
      <c r="C110" s="383"/>
      <c r="D110" s="383"/>
      <c r="E110" s="383"/>
      <c r="F110" s="421"/>
      <c r="G110" s="421"/>
      <c r="H110" s="55"/>
      <c r="I110" s="50"/>
      <c r="J110" s="23"/>
      <c r="K110" s="23"/>
      <c r="L110" s="23"/>
      <c r="M110" s="23"/>
      <c r="N110" s="23"/>
      <c r="O110" s="50"/>
      <c r="P110" s="458"/>
      <c r="Q110" s="458"/>
      <c r="R110" s="458"/>
      <c r="S110" s="458"/>
      <c r="T110" s="458"/>
      <c r="U110" s="50"/>
      <c r="V110" s="23"/>
      <c r="W110" s="23"/>
      <c r="X110" s="23"/>
      <c r="Y110" s="50"/>
      <c r="Z110" s="23"/>
      <c r="AA110" s="23"/>
      <c r="AB110" s="458"/>
      <c r="AC110" s="50"/>
      <c r="AD110" s="291"/>
      <c r="AE110" s="2"/>
      <c r="AF110" s="269"/>
      <c r="AG110" s="450"/>
      <c r="AH110" s="269"/>
      <c r="AI110" s="269"/>
      <c r="AJ110" s="269"/>
      <c r="AK110" s="269"/>
      <c r="AL110" s="269"/>
      <c r="AM110" s="269"/>
      <c r="AN110" s="399"/>
      <c r="AO110" s="400"/>
      <c r="AP110" s="400"/>
      <c r="AQ110" s="399"/>
      <c r="AR110" s="399"/>
      <c r="AS110" s="269"/>
      <c r="AT110" s="269"/>
      <c r="AU110" s="386"/>
      <c r="BA110" s="6"/>
      <c r="BB110" s="6"/>
      <c r="BG110" s="332" t="e">
        <f t="shared" ca="1" si="2"/>
        <v>#N/A</v>
      </c>
      <c r="BH110" s="385">
        <f t="shared" ca="1" si="8"/>
        <v>43585</v>
      </c>
      <c r="BI110" s="4">
        <v>524.43558180993421</v>
      </c>
      <c r="BJ110" s="385">
        <f t="shared" ca="1" si="9"/>
        <v>43585</v>
      </c>
      <c r="BK110" s="4">
        <v>439.36578229600565</v>
      </c>
      <c r="BL110" s="269">
        <f t="shared" ca="1" si="3"/>
        <v>0</v>
      </c>
      <c r="BM110" s="269">
        <f t="shared" ca="1" si="4"/>
        <v>0</v>
      </c>
      <c r="BN110" s="269">
        <f t="shared" ca="1" si="5"/>
        <v>0</v>
      </c>
      <c r="BO110" s="269">
        <f t="shared" ca="1" si="6"/>
        <v>0</v>
      </c>
    </row>
    <row r="111" spans="1:67" s="4" customFormat="1">
      <c r="A111" s="381"/>
      <c r="C111" s="383"/>
      <c r="D111" s="383"/>
      <c r="E111" s="383"/>
      <c r="F111" s="421"/>
      <c r="G111" s="421"/>
      <c r="H111" s="55"/>
      <c r="I111" s="50"/>
      <c r="J111" s="23"/>
      <c r="K111" s="23"/>
      <c r="L111" s="23"/>
      <c r="M111" s="23"/>
      <c r="N111" s="23"/>
      <c r="O111" s="50"/>
      <c r="P111" s="458"/>
      <c r="Q111" s="458"/>
      <c r="R111" s="458"/>
      <c r="S111" s="458"/>
      <c r="T111" s="458"/>
      <c r="U111" s="50"/>
      <c r="V111" s="23"/>
      <c r="W111" s="23"/>
      <c r="X111" s="23"/>
      <c r="Y111" s="50"/>
      <c r="Z111" s="23"/>
      <c r="AA111" s="23"/>
      <c r="AB111" s="458"/>
      <c r="AC111" s="50"/>
      <c r="AD111" s="291"/>
      <c r="AE111" s="2"/>
      <c r="AF111" s="269"/>
      <c r="AG111" s="450"/>
      <c r="AH111" s="269"/>
      <c r="AI111" s="269"/>
      <c r="AJ111" s="269"/>
      <c r="AK111" s="269"/>
      <c r="AL111" s="269"/>
      <c r="AM111" s="269"/>
      <c r="AN111" s="423" t="s">
        <v>254</v>
      </c>
      <c r="AO111" s="400"/>
      <c r="AP111" s="400"/>
      <c r="AQ111" s="399"/>
      <c r="AR111" s="399"/>
      <c r="AS111" s="269"/>
      <c r="AT111" s="269"/>
      <c r="AU111" s="386"/>
      <c r="BA111" s="6"/>
      <c r="BB111" s="6"/>
      <c r="BG111" s="332" t="e">
        <f t="shared" ca="1" si="2"/>
        <v>#N/A</v>
      </c>
      <c r="BH111" s="385">
        <f t="shared" ca="1" si="8"/>
        <v>43586</v>
      </c>
      <c r="BI111" s="4">
        <v>521.4950908953324</v>
      </c>
      <c r="BJ111" s="385">
        <f t="shared" ca="1" si="9"/>
        <v>43586</v>
      </c>
      <c r="BK111" s="4">
        <v>439.86666665431113</v>
      </c>
      <c r="BL111" s="269">
        <f t="shared" ca="1" si="3"/>
        <v>0</v>
      </c>
      <c r="BM111" s="269">
        <f t="shared" ca="1" si="4"/>
        <v>0</v>
      </c>
      <c r="BN111" s="269">
        <f t="shared" ca="1" si="5"/>
        <v>0</v>
      </c>
      <c r="BO111" s="269">
        <f t="shared" ca="1" si="6"/>
        <v>0</v>
      </c>
    </row>
    <row r="112" spans="1:67" s="4" customFormat="1">
      <c r="A112" s="381"/>
      <c r="C112" s="383"/>
      <c r="D112" s="383"/>
      <c r="E112" s="383"/>
      <c r="F112" s="421"/>
      <c r="G112" s="421"/>
      <c r="H112" s="55"/>
      <c r="I112" s="50"/>
      <c r="J112" s="23"/>
      <c r="K112" s="23"/>
      <c r="L112" s="23"/>
      <c r="M112" s="23"/>
      <c r="N112" s="23"/>
      <c r="O112" s="50"/>
      <c r="P112" s="458"/>
      <c r="Q112" s="458"/>
      <c r="R112" s="458"/>
      <c r="S112" s="458"/>
      <c r="T112" s="458"/>
      <c r="U112" s="50"/>
      <c r="V112" s="23"/>
      <c r="W112" s="23"/>
      <c r="X112" s="23"/>
      <c r="Y112" s="50"/>
      <c r="Z112" s="23"/>
      <c r="AA112" s="23"/>
      <c r="AB112" s="458"/>
      <c r="AC112" s="50"/>
      <c r="AF112" s="269"/>
      <c r="AG112" s="450"/>
      <c r="AH112" s="269"/>
      <c r="AI112" s="269"/>
      <c r="AJ112" s="269"/>
      <c r="AK112" s="269"/>
      <c r="AL112" s="269"/>
      <c r="AM112" s="269"/>
      <c r="AN112" s="383"/>
      <c r="AO112" s="424" t="s">
        <v>38</v>
      </c>
      <c r="AP112" s="421"/>
      <c r="AQ112" s="200" t="s">
        <v>40</v>
      </c>
      <c r="AS112" s="269"/>
      <c r="AT112" s="269"/>
      <c r="AU112" s="386"/>
      <c r="BA112" s="6"/>
      <c r="BB112" s="6"/>
      <c r="BG112" s="332" t="e">
        <f t="shared" ca="1" si="2"/>
        <v>#N/A</v>
      </c>
      <c r="BH112" s="385">
        <f t="shared" ca="1" si="8"/>
        <v>43587</v>
      </c>
      <c r="BI112" s="4">
        <v>518.50414544617763</v>
      </c>
      <c r="BJ112" s="385">
        <f t="shared" ca="1" si="9"/>
        <v>43587</v>
      </c>
      <c r="BK112" s="4">
        <v>440.26602041171861</v>
      </c>
      <c r="BL112" s="269">
        <f t="shared" ca="1" si="3"/>
        <v>0</v>
      </c>
      <c r="BM112" s="269">
        <f t="shared" ca="1" si="4"/>
        <v>0</v>
      </c>
      <c r="BN112" s="269">
        <f t="shared" ca="1" si="5"/>
        <v>0</v>
      </c>
      <c r="BO112" s="269">
        <f t="shared" ca="1" si="6"/>
        <v>0</v>
      </c>
    </row>
    <row r="113" spans="1:67" s="4" customFormat="1">
      <c r="A113" s="381"/>
      <c r="C113" s="383"/>
      <c r="D113" s="383"/>
      <c r="E113" s="383"/>
      <c r="F113" s="421"/>
      <c r="G113" s="421"/>
      <c r="H113" s="55"/>
      <c r="I113" s="50"/>
      <c r="J113" s="23"/>
      <c r="K113" s="23"/>
      <c r="L113" s="23"/>
      <c r="M113" s="23"/>
      <c r="N113" s="23"/>
      <c r="O113" s="50"/>
      <c r="P113" s="458"/>
      <c r="Q113" s="458"/>
      <c r="R113" s="458"/>
      <c r="S113" s="458"/>
      <c r="T113" s="458"/>
      <c r="U113" s="50"/>
      <c r="V113" s="23"/>
      <c r="W113" s="23"/>
      <c r="X113" s="23"/>
      <c r="Y113" s="50"/>
      <c r="Z113" s="23"/>
      <c r="AA113" s="23"/>
      <c r="AB113" s="458"/>
      <c r="AC113" s="50"/>
      <c r="AF113" s="269"/>
      <c r="AG113" s="450"/>
      <c r="AH113" s="269"/>
      <c r="AI113" s="269"/>
      <c r="AJ113" s="269"/>
      <c r="AK113" s="269"/>
      <c r="AL113" s="269"/>
      <c r="AM113" s="269"/>
      <c r="AN113" s="424" t="s">
        <v>253</v>
      </c>
      <c r="AO113" s="19" t="s">
        <v>0</v>
      </c>
      <c r="AP113" s="19" t="s">
        <v>241</v>
      </c>
      <c r="AQ113" s="19" t="s">
        <v>0</v>
      </c>
      <c r="AR113" s="19" t="s">
        <v>241</v>
      </c>
      <c r="AS113" s="269"/>
      <c r="AT113" s="269"/>
      <c r="AU113" s="386"/>
      <c r="BA113" s="6"/>
      <c r="BB113" s="6"/>
      <c r="BG113" s="332" t="e">
        <f t="shared" ca="1" si="2"/>
        <v>#N/A</v>
      </c>
      <c r="BH113" s="385">
        <f t="shared" ca="1" si="8"/>
        <v>43588</v>
      </c>
      <c r="BI113" s="4">
        <v>515.46274543765935</v>
      </c>
      <c r="BJ113" s="385">
        <f t="shared" ca="1" si="9"/>
        <v>43588</v>
      </c>
      <c r="BK113" s="4">
        <v>440.56384353116152</v>
      </c>
      <c r="BL113" s="269">
        <f t="shared" ca="1" si="3"/>
        <v>0</v>
      </c>
      <c r="BM113" s="269">
        <f t="shared" ca="1" si="4"/>
        <v>0</v>
      </c>
      <c r="BN113" s="269">
        <f t="shared" ca="1" si="5"/>
        <v>0</v>
      </c>
      <c r="BO113" s="269">
        <f t="shared" ca="1" si="6"/>
        <v>0</v>
      </c>
    </row>
    <row r="114" spans="1:67" s="4" customFormat="1">
      <c r="A114" s="381"/>
      <c r="C114" s="383"/>
      <c r="D114" s="383"/>
      <c r="E114" s="383"/>
      <c r="F114" s="421"/>
      <c r="G114" s="421"/>
      <c r="H114" s="55"/>
      <c r="I114" s="50"/>
      <c r="J114" s="23"/>
      <c r="K114" s="23"/>
      <c r="L114" s="23"/>
      <c r="M114" s="23"/>
      <c r="N114" s="23"/>
      <c r="O114" s="50"/>
      <c r="P114" s="458"/>
      <c r="Q114" s="458"/>
      <c r="R114" s="458"/>
      <c r="S114" s="458"/>
      <c r="T114" s="458"/>
      <c r="U114" s="50"/>
      <c r="V114" s="23"/>
      <c r="W114" s="23"/>
      <c r="X114" s="23"/>
      <c r="Y114" s="50"/>
      <c r="Z114" s="23"/>
      <c r="AA114" s="23"/>
      <c r="AB114" s="458"/>
      <c r="AC114" s="50"/>
      <c r="AF114" s="269"/>
      <c r="AG114" s="450"/>
      <c r="AH114" s="269"/>
      <c r="AI114" s="269"/>
      <c r="AJ114" s="269"/>
      <c r="AK114" s="269"/>
      <c r="AL114" s="269"/>
      <c r="AM114" s="269"/>
      <c r="AN114" s="424" t="s">
        <v>238</v>
      </c>
      <c r="AO114" s="425">
        <v>-6358381.1318135969</v>
      </c>
      <c r="AP114" s="425">
        <v>-17181786.020406116</v>
      </c>
      <c r="AQ114" s="425">
        <v>-10434114.083420666</v>
      </c>
      <c r="AR114" s="425">
        <v>-14710355.179590281</v>
      </c>
      <c r="AS114" s="269"/>
      <c r="AT114" s="269"/>
      <c r="AU114" s="386"/>
      <c r="BG114" s="332" t="e">
        <f t="shared" ca="1" si="2"/>
        <v>#N/A</v>
      </c>
      <c r="BH114" s="385">
        <f t="shared" ca="1" si="8"/>
        <v>43589</v>
      </c>
      <c r="BI114" s="4">
        <v>512.37089090079076</v>
      </c>
      <c r="BJ114" s="385">
        <f t="shared" ca="1" si="9"/>
        <v>43589</v>
      </c>
      <c r="BK114" s="4">
        <v>440.76013604970649</v>
      </c>
      <c r="BL114" s="269">
        <f t="shared" ca="1" si="3"/>
        <v>0</v>
      </c>
      <c r="BM114" s="269">
        <f t="shared" ca="1" si="4"/>
        <v>0</v>
      </c>
      <c r="BN114" s="269">
        <f t="shared" ca="1" si="5"/>
        <v>0</v>
      </c>
      <c r="BO114" s="269">
        <f t="shared" ca="1" si="6"/>
        <v>0</v>
      </c>
    </row>
    <row r="115" spans="1:67">
      <c r="C115" s="373"/>
      <c r="D115" s="373"/>
      <c r="E115" s="373"/>
      <c r="F115" s="276"/>
      <c r="G115" s="276"/>
      <c r="H115" s="276"/>
      <c r="I115" s="276"/>
      <c r="J115" s="276"/>
      <c r="L115" s="276"/>
      <c r="M115" s="276"/>
      <c r="N115" s="276"/>
      <c r="O115" s="276"/>
      <c r="P115" s="276"/>
      <c r="Q115" s="276"/>
      <c r="R115" s="276"/>
      <c r="S115" s="276"/>
      <c r="T115" s="276"/>
      <c r="U115" s="276"/>
      <c r="V115" s="276"/>
      <c r="W115" s="276"/>
      <c r="X115" s="276"/>
      <c r="Y115" s="276"/>
      <c r="Z115" s="276"/>
      <c r="AA115" s="276"/>
      <c r="AB115" s="276"/>
      <c r="AC115" s="276"/>
      <c r="AG115" s="450"/>
      <c r="AN115" s="424" t="s">
        <v>239</v>
      </c>
      <c r="AO115" s="425">
        <v>310.3880303028069</v>
      </c>
      <c r="AP115" s="425">
        <v>837.43741496588643</v>
      </c>
      <c r="AQ115" s="425">
        <v>509.25824175844087</v>
      </c>
      <c r="AR115" s="425">
        <v>716.93910018545284</v>
      </c>
      <c r="AU115" s="386"/>
      <c r="BG115" s="332" t="e">
        <f t="shared" ca="1" si="2"/>
        <v>#N/A</v>
      </c>
      <c r="BH115" s="385">
        <f t="shared" ca="1" si="8"/>
        <v>43590</v>
      </c>
      <c r="BI115" s="269">
        <v>509.22858180455859</v>
      </c>
      <c r="BJ115" s="385">
        <f t="shared" ca="1" si="9"/>
        <v>43590</v>
      </c>
      <c r="BK115" s="269">
        <v>440.85489796735345</v>
      </c>
      <c r="BL115" s="269">
        <f t="shared" ca="1" si="3"/>
        <v>0</v>
      </c>
      <c r="BM115" s="269">
        <f t="shared" ca="1" si="4"/>
        <v>0</v>
      </c>
      <c r="BN115" s="269">
        <f t="shared" ca="1" si="5"/>
        <v>0</v>
      </c>
      <c r="BO115" s="269">
        <f t="shared" ca="1" si="6"/>
        <v>0</v>
      </c>
    </row>
    <row r="116" spans="1:67" ht="13.5" thickBot="1">
      <c r="C116" s="276"/>
      <c r="D116" s="276"/>
      <c r="E116" s="276"/>
      <c r="F116" s="276"/>
      <c r="G116" s="276"/>
      <c r="H116" s="276"/>
      <c r="I116" s="276"/>
      <c r="J116" s="276"/>
      <c r="L116" s="276"/>
      <c r="M116" s="276"/>
      <c r="N116" s="276"/>
      <c r="O116" s="276"/>
      <c r="P116" s="276"/>
      <c r="Q116" s="276"/>
      <c r="R116" s="276"/>
      <c r="S116" s="276"/>
      <c r="T116" s="276"/>
      <c r="U116" s="276"/>
      <c r="V116" s="276"/>
      <c r="W116" s="276"/>
      <c r="X116" s="276"/>
      <c r="Y116" s="276"/>
      <c r="Z116" s="276"/>
      <c r="AA116" s="276"/>
      <c r="AB116" s="276"/>
      <c r="AC116" s="276"/>
      <c r="AG116" s="450"/>
      <c r="AN116" s="424" t="s">
        <v>240</v>
      </c>
      <c r="AO116" s="426">
        <v>-3.7878787878760675E-3</v>
      </c>
      <c r="AP116" s="426">
        <v>-1.0204081632651843E-2</v>
      </c>
      <c r="AQ116" s="426">
        <v>-6.2137862137886402E-3</v>
      </c>
      <c r="AR116" s="426">
        <v>-8.7353123067399532E-3</v>
      </c>
      <c r="AU116" s="386"/>
      <c r="BG116" s="332" t="e">
        <f t="shared" ref="BG116:BG147" ca="1" si="10">IF(BH116&lt;$AO$96+$AO$97,NA(),$P$51)</f>
        <v>#N/A</v>
      </c>
      <c r="BH116" s="385">
        <f t="shared" ca="1" si="8"/>
        <v>43591</v>
      </c>
      <c r="BI116" s="269">
        <v>506.03581817377363</v>
      </c>
      <c r="BJ116" s="385">
        <f t="shared" ca="1" si="9"/>
        <v>43591</v>
      </c>
      <c r="BK116" s="269">
        <v>440.8481292285025</v>
      </c>
      <c r="BL116" s="269">
        <f t="shared" ca="1" si="3"/>
        <v>0</v>
      </c>
      <c r="BM116" s="269">
        <f t="shared" ca="1" si="4"/>
        <v>0</v>
      </c>
      <c r="BN116" s="269">
        <f t="shared" ca="1" si="5"/>
        <v>0</v>
      </c>
      <c r="BO116" s="269">
        <f t="shared" ca="1" si="6"/>
        <v>0</v>
      </c>
    </row>
    <row r="117" spans="1:67">
      <c r="AG117" s="450"/>
      <c r="AN117" s="424" t="s">
        <v>242</v>
      </c>
      <c r="AO117" s="386">
        <f ca="1">(AO114+$AO$105*AO115+$AO$105^2*AO116)/100</f>
        <v>0.76473636361770336</v>
      </c>
      <c r="AP117" s="386">
        <f ca="1">(AP114+$AP$105*AP115+$AP$105^2*AP116)/100</f>
        <v>0.92197278905659918</v>
      </c>
      <c r="AQ117" s="386">
        <f ca="1">(AQ114+$AO$105*AQ115+$AO$105^2*AQ116)/100</f>
        <v>0.59475904097780585</v>
      </c>
      <c r="AR117" s="386">
        <f ca="1">(AR114+$AP$105*AR115+$AP$105^2*AR116)/100</f>
        <v>0.95102721085771913</v>
      </c>
      <c r="AU117" s="386"/>
      <c r="BG117" s="332" t="e">
        <f t="shared" ca="1" si="10"/>
        <v>#N/A</v>
      </c>
      <c r="BH117" s="385">
        <f t="shared" ca="1" si="8"/>
        <v>43592</v>
      </c>
      <c r="BI117" s="269">
        <v>502.79259998362511</v>
      </c>
      <c r="BJ117" s="385">
        <f t="shared" ca="1" si="9"/>
        <v>43592</v>
      </c>
      <c r="BK117" s="269">
        <v>440.73982990728689</v>
      </c>
      <c r="BL117" s="269">
        <f t="shared" ref="BL117:BL148" ca="1" si="11">IF(AND(BH117&gt;=$AO$96,BH117&lt;=$AO$96+$AO$97),1000,0)</f>
        <v>0</v>
      </c>
      <c r="BM117" s="269">
        <f t="shared" ref="BM117:BM148" ca="1" si="12">IF(BH117=$AO$98,1000,0)</f>
        <v>0</v>
      </c>
      <c r="BN117" s="269">
        <f t="shared" ref="BN117:BN148" ca="1" si="13">IF(BH117=$AP$98,1000,0)</f>
        <v>0</v>
      </c>
      <c r="BO117" s="269">
        <f t="shared" ref="BO117:BO148" ca="1" si="14">IF(AND(BH117&gt;=$AP$96,BH117&lt;=$AP$96+$AP$97),1000,0)</f>
        <v>0</v>
      </c>
    </row>
    <row r="118" spans="1:67">
      <c r="AG118" s="450"/>
      <c r="AO118" s="425"/>
      <c r="AQ118" s="425"/>
      <c r="AU118" s="386"/>
      <c r="BG118" s="332" t="e">
        <f t="shared" ca="1" si="10"/>
        <v>#N/A</v>
      </c>
      <c r="BH118" s="385">
        <f t="shared" ca="1" si="8"/>
        <v>43593</v>
      </c>
      <c r="BI118" s="269">
        <v>499.49892725892369</v>
      </c>
      <c r="BJ118" s="385">
        <f t="shared" ca="1" si="9"/>
        <v>43593</v>
      </c>
      <c r="BK118" s="269">
        <v>440.52999998517333</v>
      </c>
      <c r="BL118" s="269">
        <f t="shared" ca="1" si="11"/>
        <v>0</v>
      </c>
      <c r="BM118" s="269">
        <f t="shared" ca="1" si="12"/>
        <v>0</v>
      </c>
      <c r="BN118" s="269">
        <f t="shared" ca="1" si="13"/>
        <v>0</v>
      </c>
      <c r="BO118" s="269">
        <f t="shared" ca="1" si="14"/>
        <v>0</v>
      </c>
    </row>
    <row r="119" spans="1:67">
      <c r="AG119" s="450"/>
      <c r="AU119" s="386"/>
      <c r="BG119" s="332" t="e">
        <f t="shared" ca="1" si="10"/>
        <v>#N/A</v>
      </c>
      <c r="BH119" s="385">
        <f t="shared" ref="BH119:BH182" ca="1" si="15">BH118+1</f>
        <v>43594</v>
      </c>
      <c r="BI119" s="269">
        <v>496.15479999346667</v>
      </c>
      <c r="BJ119" s="385">
        <f t="shared" ca="1" si="9"/>
        <v>43594</v>
      </c>
      <c r="BK119" s="269">
        <v>440.21863944362849</v>
      </c>
      <c r="BL119" s="269">
        <f t="shared" ca="1" si="11"/>
        <v>0</v>
      </c>
      <c r="BM119" s="269">
        <f t="shared" ca="1" si="12"/>
        <v>0</v>
      </c>
      <c r="BN119" s="269">
        <f t="shared" ca="1" si="13"/>
        <v>0</v>
      </c>
      <c r="BO119" s="269">
        <f t="shared" ca="1" si="14"/>
        <v>0</v>
      </c>
    </row>
    <row r="120" spans="1:67">
      <c r="AG120" s="450"/>
      <c r="AN120" s="424" t="s">
        <v>251</v>
      </c>
      <c r="AU120" s="386"/>
      <c r="BG120" s="332" t="e">
        <f t="shared" ca="1" si="10"/>
        <v>#N/A</v>
      </c>
      <c r="BH120" s="385">
        <f t="shared" ca="1" si="15"/>
        <v>43595</v>
      </c>
      <c r="BI120" s="269">
        <v>492.76021816864613</v>
      </c>
      <c r="BJ120" s="385">
        <f t="shared" ca="1" si="9"/>
        <v>43595</v>
      </c>
      <c r="BK120" s="269">
        <v>439.80574828265236</v>
      </c>
      <c r="BL120" s="269">
        <f t="shared" ca="1" si="11"/>
        <v>0</v>
      </c>
      <c r="BM120" s="269">
        <f t="shared" ca="1" si="12"/>
        <v>0</v>
      </c>
      <c r="BN120" s="269">
        <f t="shared" ca="1" si="13"/>
        <v>0</v>
      </c>
      <c r="BO120" s="269">
        <f t="shared" ca="1" si="14"/>
        <v>0</v>
      </c>
    </row>
    <row r="121" spans="1:67">
      <c r="AG121" s="450"/>
      <c r="AN121" s="424" t="s">
        <v>255</v>
      </c>
      <c r="AO121" s="427">
        <v>41030</v>
      </c>
      <c r="AP121" s="427">
        <v>41037</v>
      </c>
      <c r="AQ121" s="427">
        <v>41000</v>
      </c>
      <c r="AR121" s="427">
        <v>41037</v>
      </c>
      <c r="AU121" s="386"/>
      <c r="BG121" s="332" t="e">
        <f t="shared" ca="1" si="10"/>
        <v>#N/A</v>
      </c>
      <c r="BH121" s="385">
        <f t="shared" ca="1" si="15"/>
        <v>43596</v>
      </c>
      <c r="BI121" s="269">
        <v>489.31518180927259</v>
      </c>
      <c r="BJ121" s="385">
        <f t="shared" ca="1" si="9"/>
        <v>43596</v>
      </c>
      <c r="BK121" s="269">
        <v>439.29132652077823</v>
      </c>
      <c r="BL121" s="269">
        <f t="shared" ca="1" si="11"/>
        <v>0</v>
      </c>
      <c r="BM121" s="269">
        <f t="shared" ca="1" si="12"/>
        <v>0</v>
      </c>
      <c r="BN121" s="269">
        <f t="shared" ca="1" si="13"/>
        <v>0</v>
      </c>
      <c r="BO121" s="269">
        <f t="shared" ca="1" si="14"/>
        <v>0</v>
      </c>
    </row>
    <row r="122" spans="1:67">
      <c r="AG122" s="450"/>
      <c r="AN122" s="424" t="s">
        <v>256</v>
      </c>
      <c r="AO122" s="427">
        <v>41075</v>
      </c>
      <c r="AP122" s="427">
        <v>41100</v>
      </c>
      <c r="AQ122" s="427">
        <v>41055</v>
      </c>
      <c r="AR122" s="427">
        <v>41100</v>
      </c>
      <c r="AU122" s="386"/>
      <c r="BG122" s="332" t="e">
        <f t="shared" ca="1" si="10"/>
        <v>#N/A</v>
      </c>
      <c r="BH122" s="385">
        <f t="shared" ca="1" si="15"/>
        <v>43597</v>
      </c>
      <c r="BI122" s="269">
        <v>485.81969089673828</v>
      </c>
      <c r="BJ122" s="385">
        <f t="shared" ca="1" si="9"/>
        <v>43597</v>
      </c>
      <c r="BK122" s="269">
        <v>438.67537413947286</v>
      </c>
      <c r="BL122" s="269">
        <f t="shared" ca="1" si="11"/>
        <v>0</v>
      </c>
      <c r="BM122" s="269">
        <f t="shared" ca="1" si="12"/>
        <v>0</v>
      </c>
      <c r="BN122" s="269">
        <f t="shared" ca="1" si="13"/>
        <v>0</v>
      </c>
      <c r="BO122" s="269">
        <f t="shared" ca="1" si="14"/>
        <v>0</v>
      </c>
    </row>
    <row r="123" spans="1:67">
      <c r="AG123" s="450"/>
      <c r="AN123" s="424" t="s">
        <v>244</v>
      </c>
      <c r="AO123" s="427">
        <f ca="1">DATE(YEAR(AO121)+RMAData!$L$5,MONTH(AO121),DAY(AO121))</f>
        <v>43586</v>
      </c>
      <c r="AP123" s="427">
        <f ca="1">DATE(YEAR(AP121)+RMAData!$L$5,MONTH(AP121),DAY(AP121))</f>
        <v>43593</v>
      </c>
      <c r="AQ123" s="427">
        <f ca="1">DATE(YEAR(AQ121)+RMAData!$L$5,MONTH(AQ121),DAY(AQ121))</f>
        <v>43556</v>
      </c>
      <c r="AR123" s="427">
        <f ca="1">DATE(YEAR(AR121)+RMAData!$L$5,MONTH(AR121),DAY(AR121))</f>
        <v>43593</v>
      </c>
      <c r="AU123" s="386"/>
      <c r="BG123" s="332" t="e">
        <f t="shared" ca="1" si="10"/>
        <v>#N/A</v>
      </c>
      <c r="BH123" s="385">
        <f t="shared" ca="1" si="15"/>
        <v>43598</v>
      </c>
      <c r="BI123" s="269">
        <v>482.27374544344838</v>
      </c>
      <c r="BJ123" s="385">
        <f t="shared" ca="1" si="9"/>
        <v>43598</v>
      </c>
      <c r="BK123" s="269">
        <v>437.9578911572695</v>
      </c>
      <c r="BL123" s="269">
        <f t="shared" ca="1" si="11"/>
        <v>0</v>
      </c>
      <c r="BM123" s="269">
        <f t="shared" ca="1" si="12"/>
        <v>0</v>
      </c>
      <c r="BN123" s="269">
        <f t="shared" ca="1" si="13"/>
        <v>0</v>
      </c>
      <c r="BO123" s="269">
        <f t="shared" ca="1" si="14"/>
        <v>0</v>
      </c>
    </row>
    <row r="124" spans="1:67">
      <c r="AG124" s="450"/>
      <c r="AN124" s="424" t="s">
        <v>245</v>
      </c>
      <c r="AO124" s="427">
        <f ca="1">DATE(YEAR(AO122)+RMAData!$L$5,MONTH(AO122),DAY(AO122))</f>
        <v>43631</v>
      </c>
      <c r="AP124" s="427">
        <f ca="1">DATE(YEAR(AP122)+RMAData!$L$5,MONTH(AP122),DAY(AP122))</f>
        <v>43656</v>
      </c>
      <c r="AQ124" s="427">
        <f ca="1">DATE(YEAR(AQ122)+RMAData!$L$5,MONTH(AQ122),DAY(AQ122))</f>
        <v>43611</v>
      </c>
      <c r="AR124" s="427">
        <f ca="1">DATE(YEAR(AR122)+RMAData!$L$5,MONTH(AR122),DAY(AR122))</f>
        <v>43656</v>
      </c>
      <c r="AU124" s="386"/>
      <c r="BG124" s="332" t="e">
        <f t="shared" ca="1" si="10"/>
        <v>#N/A</v>
      </c>
      <c r="BH124" s="385">
        <f t="shared" ca="1" si="15"/>
        <v>43599</v>
      </c>
      <c r="BI124" s="269">
        <v>478.67734543699771</v>
      </c>
      <c r="BJ124" s="385">
        <f t="shared" ca="1" si="9"/>
        <v>43599</v>
      </c>
      <c r="BK124" s="269">
        <v>437.13887755563485</v>
      </c>
      <c r="BL124" s="269">
        <f t="shared" ca="1" si="11"/>
        <v>0</v>
      </c>
      <c r="BM124" s="269">
        <f t="shared" ca="1" si="12"/>
        <v>0</v>
      </c>
      <c r="BN124" s="269">
        <f t="shared" ca="1" si="13"/>
        <v>0</v>
      </c>
      <c r="BO124" s="269">
        <f t="shared" ca="1" si="14"/>
        <v>0</v>
      </c>
    </row>
    <row r="125" spans="1:67">
      <c r="AG125" s="450"/>
      <c r="BG125" s="332" t="e">
        <f t="shared" ca="1" si="10"/>
        <v>#N/A</v>
      </c>
      <c r="BH125" s="385">
        <f t="shared" ca="1" si="15"/>
        <v>43600</v>
      </c>
      <c r="BI125" s="269">
        <v>475.03049089599398</v>
      </c>
      <c r="BJ125" s="385">
        <f t="shared" ca="1" si="9"/>
        <v>43600</v>
      </c>
      <c r="BK125" s="269">
        <v>436.21833333456891</v>
      </c>
      <c r="BL125" s="269">
        <f t="shared" ca="1" si="11"/>
        <v>0</v>
      </c>
      <c r="BM125" s="269">
        <f t="shared" ca="1" si="12"/>
        <v>0</v>
      </c>
      <c r="BN125" s="269">
        <f t="shared" ca="1" si="13"/>
        <v>0</v>
      </c>
      <c r="BO125" s="269">
        <f t="shared" ca="1" si="14"/>
        <v>0</v>
      </c>
    </row>
    <row r="126" spans="1:67">
      <c r="AG126" s="450"/>
      <c r="BG126" s="332" t="e">
        <f t="shared" ca="1" si="10"/>
        <v>#N/A</v>
      </c>
      <c r="BH126" s="385">
        <f t="shared" ca="1" si="15"/>
        <v>43601</v>
      </c>
      <c r="BI126" s="269">
        <v>471.33318180182948</v>
      </c>
      <c r="BJ126" s="385">
        <f t="shared" ca="1" si="9"/>
        <v>43601</v>
      </c>
      <c r="BK126" s="269">
        <v>435.19625851260497</v>
      </c>
      <c r="BL126" s="269">
        <f t="shared" ca="1" si="11"/>
        <v>0</v>
      </c>
      <c r="BM126" s="269">
        <f t="shared" ca="1" si="12"/>
        <v>0</v>
      </c>
      <c r="BN126" s="269">
        <f t="shared" ca="1" si="13"/>
        <v>0</v>
      </c>
      <c r="BO126" s="269">
        <f t="shared" ca="1" si="14"/>
        <v>0</v>
      </c>
    </row>
    <row r="127" spans="1:67">
      <c r="AG127" s="450"/>
      <c r="AN127" s="424"/>
      <c r="BG127" s="332" t="e">
        <f t="shared" ca="1" si="10"/>
        <v>#N/A</v>
      </c>
      <c r="BH127" s="385">
        <f t="shared" ca="1" si="15"/>
        <v>43602</v>
      </c>
      <c r="BI127" s="269">
        <v>467.58541817311198</v>
      </c>
      <c r="BJ127" s="385">
        <f t="shared" ca="1" si="9"/>
        <v>43602</v>
      </c>
      <c r="BK127" s="269">
        <v>434.0726530712098</v>
      </c>
      <c r="BL127" s="269">
        <f t="shared" ca="1" si="11"/>
        <v>0</v>
      </c>
      <c r="BM127" s="269">
        <f t="shared" ca="1" si="12"/>
        <v>0</v>
      </c>
      <c r="BN127" s="269">
        <f t="shared" ca="1" si="13"/>
        <v>0</v>
      </c>
      <c r="BO127" s="269">
        <f t="shared" ca="1" si="14"/>
        <v>0</v>
      </c>
    </row>
    <row r="128" spans="1:67">
      <c r="AG128" s="450"/>
      <c r="AO128" s="385"/>
      <c r="BG128" s="332" t="e">
        <f t="shared" ca="1" si="10"/>
        <v>#N/A</v>
      </c>
      <c r="BH128" s="385">
        <f t="shared" ca="1" si="15"/>
        <v>43603</v>
      </c>
      <c r="BI128" s="269">
        <v>463.78719997882843</v>
      </c>
      <c r="BJ128" s="385">
        <f t="shared" ca="1" si="9"/>
        <v>43603</v>
      </c>
      <c r="BK128" s="269">
        <v>432.84751697331666</v>
      </c>
      <c r="BL128" s="269">
        <f t="shared" ca="1" si="11"/>
        <v>0</v>
      </c>
      <c r="BM128" s="269">
        <f t="shared" ca="1" si="12"/>
        <v>0</v>
      </c>
      <c r="BN128" s="269">
        <f t="shared" ca="1" si="13"/>
        <v>0</v>
      </c>
      <c r="BO128" s="269">
        <f t="shared" ca="1" si="14"/>
        <v>0</v>
      </c>
    </row>
    <row r="129" spans="33:67">
      <c r="AG129" s="450"/>
      <c r="AO129" s="385"/>
      <c r="BG129" s="332" t="e">
        <f t="shared" ca="1" si="10"/>
        <v>#N/A</v>
      </c>
      <c r="BH129" s="385">
        <f t="shared" ca="1" si="15"/>
        <v>43604</v>
      </c>
      <c r="BI129" s="269">
        <v>459.93852726239709</v>
      </c>
      <c r="BJ129" s="385">
        <f t="shared" ca="1" si="9"/>
        <v>43604</v>
      </c>
      <c r="BK129" s="269">
        <v>431.5208503115922</v>
      </c>
      <c r="BL129" s="269">
        <f t="shared" ca="1" si="11"/>
        <v>0</v>
      </c>
      <c r="BM129" s="269">
        <f t="shared" ca="1" si="12"/>
        <v>0</v>
      </c>
      <c r="BN129" s="269">
        <f t="shared" ca="1" si="13"/>
        <v>0</v>
      </c>
      <c r="BO129" s="269">
        <f t="shared" ca="1" si="14"/>
        <v>0</v>
      </c>
    </row>
    <row r="130" spans="33:67">
      <c r="AG130" s="450"/>
      <c r="AO130" s="385"/>
      <c r="BG130" s="332" t="e">
        <f t="shared" ca="1" si="10"/>
        <v>#N/A</v>
      </c>
      <c r="BH130" s="385">
        <f t="shared" ca="1" si="15"/>
        <v>43605</v>
      </c>
      <c r="BI130" s="269">
        <v>456.03939999280487</v>
      </c>
      <c r="BJ130" s="385">
        <f t="shared" ca="1" si="9"/>
        <v>43605</v>
      </c>
      <c r="BK130" s="269">
        <v>430.09265303043651</v>
      </c>
      <c r="BL130" s="269">
        <f t="shared" ca="1" si="11"/>
        <v>0</v>
      </c>
      <c r="BM130" s="269">
        <f t="shared" ca="1" si="12"/>
        <v>0</v>
      </c>
      <c r="BN130" s="269">
        <f t="shared" ca="1" si="13"/>
        <v>0</v>
      </c>
      <c r="BO130" s="269">
        <f t="shared" ca="1" si="14"/>
        <v>0</v>
      </c>
    </row>
    <row r="131" spans="33:67">
      <c r="AG131" s="450"/>
      <c r="AO131" s="385"/>
      <c r="BG131" s="332" t="e">
        <f t="shared" ca="1" si="10"/>
        <v>#N/A</v>
      </c>
      <c r="BH131" s="385">
        <f t="shared" ca="1" si="15"/>
        <v>43606</v>
      </c>
      <c r="BI131" s="269">
        <v>452.08981817005207</v>
      </c>
      <c r="BJ131" s="385">
        <f t="shared" ca="1" si="9"/>
        <v>43606</v>
      </c>
      <c r="BK131" s="269">
        <v>428.56292514838276</v>
      </c>
      <c r="BL131" s="269">
        <f t="shared" ca="1" si="11"/>
        <v>0</v>
      </c>
      <c r="BM131" s="269">
        <f t="shared" ca="1" si="12"/>
        <v>0</v>
      </c>
      <c r="BN131" s="269">
        <f t="shared" ca="1" si="13"/>
        <v>0</v>
      </c>
      <c r="BO131" s="269">
        <f t="shared" ca="1" si="14"/>
        <v>0</v>
      </c>
    </row>
    <row r="132" spans="33:67">
      <c r="AG132" s="450"/>
      <c r="AO132" s="385"/>
      <c r="BG132" s="332" t="e">
        <f t="shared" ca="1" si="10"/>
        <v>#N/A</v>
      </c>
      <c r="BH132" s="385">
        <f t="shared" ca="1" si="15"/>
        <v>43607</v>
      </c>
      <c r="BI132" s="269">
        <v>448.08978181274608</v>
      </c>
      <c r="BJ132" s="385">
        <f t="shared" ca="1" si="9"/>
        <v>43607</v>
      </c>
      <c r="BK132" s="269">
        <v>426.93166664689778</v>
      </c>
      <c r="BL132" s="269">
        <f t="shared" ca="1" si="11"/>
        <v>0</v>
      </c>
      <c r="BM132" s="269">
        <f t="shared" ca="1" si="12"/>
        <v>0</v>
      </c>
      <c r="BN132" s="269">
        <f t="shared" ca="1" si="13"/>
        <v>0</v>
      </c>
      <c r="BO132" s="269">
        <f t="shared" ca="1" si="14"/>
        <v>0</v>
      </c>
    </row>
    <row r="133" spans="33:67">
      <c r="AG133" s="450"/>
      <c r="AO133" s="385"/>
      <c r="BG133" s="332" t="e">
        <f t="shared" ca="1" si="10"/>
        <v>#N/A</v>
      </c>
      <c r="BH133" s="385">
        <f t="shared" ca="1" si="15"/>
        <v>43608</v>
      </c>
      <c r="BI133" s="269">
        <v>444.03929089607675</v>
      </c>
      <c r="BJ133" s="385">
        <f t="shared" ca="1" si="9"/>
        <v>43608</v>
      </c>
      <c r="BK133" s="269">
        <v>425.19887754451486</v>
      </c>
      <c r="BL133" s="269">
        <f t="shared" ca="1" si="11"/>
        <v>0</v>
      </c>
      <c r="BM133" s="269">
        <f t="shared" ca="1" si="12"/>
        <v>0</v>
      </c>
      <c r="BN133" s="269">
        <f t="shared" ca="1" si="13"/>
        <v>0</v>
      </c>
      <c r="BO133" s="269">
        <f t="shared" ca="1" si="14"/>
        <v>0</v>
      </c>
    </row>
    <row r="134" spans="33:67">
      <c r="AG134" s="450"/>
      <c r="AO134" s="385"/>
      <c r="BG134" s="332" t="e">
        <f t="shared" ca="1" si="10"/>
        <v>#N/A</v>
      </c>
      <c r="BH134" s="385">
        <f t="shared" ca="1" si="15"/>
        <v>43609</v>
      </c>
      <c r="BI134" s="269">
        <v>439.93834544485435</v>
      </c>
      <c r="BJ134" s="385">
        <f t="shared" ca="1" si="9"/>
        <v>43609</v>
      </c>
      <c r="BK134" s="269">
        <v>423.36455782270059</v>
      </c>
      <c r="BL134" s="269">
        <f t="shared" ca="1" si="11"/>
        <v>0</v>
      </c>
      <c r="BM134" s="269">
        <f t="shared" ca="1" si="12"/>
        <v>0</v>
      </c>
      <c r="BN134" s="269">
        <f t="shared" ca="1" si="13"/>
        <v>0</v>
      </c>
      <c r="BO134" s="269">
        <f t="shared" ca="1" si="14"/>
        <v>0</v>
      </c>
    </row>
    <row r="135" spans="33:67">
      <c r="AG135" s="450"/>
      <c r="AO135" s="385"/>
      <c r="BG135" s="332" t="e">
        <f t="shared" ca="1" si="10"/>
        <v>#N/A</v>
      </c>
      <c r="BH135" s="385">
        <f t="shared" ca="1" si="15"/>
        <v>43610</v>
      </c>
      <c r="BI135" s="269">
        <v>435.78694544047107</v>
      </c>
      <c r="BJ135" s="385">
        <f t="shared" ca="1" si="9"/>
        <v>43610</v>
      </c>
      <c r="BK135" s="269">
        <v>421.42870748145504</v>
      </c>
      <c r="BL135" s="269">
        <f t="shared" ca="1" si="11"/>
        <v>0</v>
      </c>
      <c r="BM135" s="269">
        <f t="shared" ca="1" si="12"/>
        <v>0</v>
      </c>
      <c r="BN135" s="269">
        <f t="shared" ca="1" si="13"/>
        <v>0</v>
      </c>
      <c r="BO135" s="269">
        <f t="shared" ca="1" si="14"/>
        <v>0</v>
      </c>
    </row>
    <row r="136" spans="33:67">
      <c r="AG136" s="450"/>
      <c r="AO136" s="385"/>
      <c r="BG136" s="332" t="e">
        <f t="shared" ca="1" si="10"/>
        <v>#N/A</v>
      </c>
      <c r="BH136" s="385">
        <f t="shared" ca="1" si="15"/>
        <v>43611</v>
      </c>
      <c r="BI136" s="269">
        <v>431.58509089533237</v>
      </c>
      <c r="BJ136" s="385">
        <f t="shared" ca="1" si="9"/>
        <v>43611</v>
      </c>
      <c r="BK136" s="269">
        <v>419.39132652077825</v>
      </c>
      <c r="BL136" s="269">
        <f t="shared" ca="1" si="11"/>
        <v>0</v>
      </c>
      <c r="BM136" s="269">
        <f t="shared" ca="1" si="12"/>
        <v>0</v>
      </c>
      <c r="BN136" s="269">
        <f t="shared" ca="1" si="13"/>
        <v>0</v>
      </c>
      <c r="BO136" s="269">
        <f t="shared" ca="1" si="14"/>
        <v>0</v>
      </c>
    </row>
    <row r="137" spans="33:67">
      <c r="AG137" s="450"/>
      <c r="AO137" s="385"/>
      <c r="BG137" s="332" t="e">
        <f t="shared" ca="1" si="10"/>
        <v>#N/A</v>
      </c>
      <c r="BH137" s="385">
        <f t="shared" ca="1" si="15"/>
        <v>43612</v>
      </c>
      <c r="BI137" s="269">
        <v>427.33278180323543</v>
      </c>
      <c r="BJ137" s="385">
        <f t="shared" ca="1" si="9"/>
        <v>43612</v>
      </c>
      <c r="BK137" s="269">
        <v>417.25241495920346</v>
      </c>
      <c r="BL137" s="269">
        <f t="shared" ca="1" si="11"/>
        <v>0</v>
      </c>
      <c r="BM137" s="269">
        <f t="shared" ca="1" si="12"/>
        <v>0</v>
      </c>
      <c r="BN137" s="269">
        <f t="shared" ca="1" si="13"/>
        <v>0</v>
      </c>
      <c r="BO137" s="269">
        <f t="shared" ca="1" si="14"/>
        <v>0</v>
      </c>
    </row>
    <row r="138" spans="33:67">
      <c r="AG138" s="450"/>
      <c r="AO138" s="385"/>
      <c r="BG138" s="332" t="e">
        <f t="shared" ca="1" si="10"/>
        <v>#N/A</v>
      </c>
      <c r="BH138" s="385">
        <f t="shared" ca="1" si="15"/>
        <v>43613</v>
      </c>
      <c r="BI138" s="269">
        <v>423.03001817038285</v>
      </c>
      <c r="BJ138" s="385">
        <f t="shared" ca="1" si="9"/>
        <v>43613</v>
      </c>
      <c r="BK138" s="269">
        <v>415.01197279673067</v>
      </c>
      <c r="BL138" s="269">
        <f t="shared" ca="1" si="11"/>
        <v>0</v>
      </c>
      <c r="BM138" s="269">
        <f t="shared" ca="1" si="12"/>
        <v>0</v>
      </c>
      <c r="BN138" s="269">
        <f t="shared" ca="1" si="13"/>
        <v>0</v>
      </c>
      <c r="BO138" s="269">
        <f t="shared" ca="1" si="14"/>
        <v>0</v>
      </c>
    </row>
    <row r="139" spans="33:67">
      <c r="AG139" s="450"/>
      <c r="AO139" s="385"/>
      <c r="BG139" s="332" t="e">
        <f t="shared" ca="1" si="10"/>
        <v>#N/A</v>
      </c>
      <c r="BH139" s="385">
        <f t="shared" ca="1" si="15"/>
        <v>43614</v>
      </c>
      <c r="BI139" s="269">
        <v>418.67679999057214</v>
      </c>
      <c r="BJ139" s="385">
        <f t="shared" ca="1" si="9"/>
        <v>43614</v>
      </c>
      <c r="BK139" s="269">
        <v>412.66999997776003</v>
      </c>
      <c r="BL139" s="269">
        <f t="shared" ca="1" si="11"/>
        <v>0</v>
      </c>
      <c r="BM139" s="269">
        <f t="shared" ca="1" si="12"/>
        <v>0</v>
      </c>
      <c r="BN139" s="269">
        <f t="shared" ca="1" si="13"/>
        <v>0</v>
      </c>
      <c r="BO139" s="269">
        <f t="shared" ca="1" si="14"/>
        <v>0</v>
      </c>
    </row>
    <row r="140" spans="33:67">
      <c r="AG140" s="450"/>
      <c r="AO140" s="385"/>
      <c r="BG140" s="332" t="e">
        <f t="shared" ca="1" si="10"/>
        <v>#N/A</v>
      </c>
      <c r="BH140" s="385">
        <f t="shared" ca="1" si="15"/>
        <v>43615</v>
      </c>
      <c r="BI140" s="269">
        <v>414.27312725760038</v>
      </c>
      <c r="BJ140" s="385">
        <f t="shared" ca="1" si="9"/>
        <v>43615</v>
      </c>
      <c r="BK140" s="269">
        <v>410.22649657642467</v>
      </c>
      <c r="BL140" s="269">
        <f t="shared" ca="1" si="11"/>
        <v>0</v>
      </c>
      <c r="BM140" s="269">
        <f t="shared" ca="1" si="12"/>
        <v>0</v>
      </c>
      <c r="BN140" s="269">
        <f t="shared" ca="1" si="13"/>
        <v>0</v>
      </c>
      <c r="BO140" s="269">
        <f t="shared" ca="1" si="14"/>
        <v>0</v>
      </c>
    </row>
    <row r="141" spans="33:67">
      <c r="AG141" s="450"/>
      <c r="AO141" s="385"/>
      <c r="BG141" s="332" t="e">
        <f t="shared" ca="1" si="10"/>
        <v>#N/A</v>
      </c>
      <c r="BH141" s="385">
        <f t="shared" ca="1" si="15"/>
        <v>43616</v>
      </c>
      <c r="BI141" s="269">
        <v>409.81899999007584</v>
      </c>
      <c r="BJ141" s="385">
        <f t="shared" ca="1" si="9"/>
        <v>43616</v>
      </c>
      <c r="BK141" s="269">
        <v>407.68146255565807</v>
      </c>
      <c r="BL141" s="269">
        <f t="shared" ca="1" si="11"/>
        <v>1000</v>
      </c>
      <c r="BM141" s="269">
        <f t="shared" ca="1" si="12"/>
        <v>0</v>
      </c>
      <c r="BN141" s="269">
        <f t="shared" ca="1" si="13"/>
        <v>0</v>
      </c>
      <c r="BO141" s="269">
        <f t="shared" ca="1" si="14"/>
        <v>0</v>
      </c>
    </row>
    <row r="142" spans="33:67">
      <c r="AG142" s="450"/>
      <c r="AO142" s="385"/>
      <c r="BG142" s="332" t="e">
        <f t="shared" ca="1" si="10"/>
        <v>#N/A</v>
      </c>
      <c r="BH142" s="385">
        <f t="shared" ca="1" si="15"/>
        <v>43617</v>
      </c>
      <c r="BI142" s="269">
        <v>405.31441816939042</v>
      </c>
      <c r="BJ142" s="385">
        <f t="shared" ca="1" si="9"/>
        <v>43617</v>
      </c>
      <c r="BK142" s="269">
        <v>405.03489793399348</v>
      </c>
      <c r="BL142" s="269">
        <f t="shared" ca="1" si="11"/>
        <v>1000</v>
      </c>
      <c r="BM142" s="269">
        <f t="shared" ca="1" si="12"/>
        <v>0</v>
      </c>
      <c r="BN142" s="269">
        <f t="shared" ca="1" si="13"/>
        <v>0</v>
      </c>
      <c r="BO142" s="269">
        <f t="shared" ca="1" si="14"/>
        <v>0</v>
      </c>
    </row>
    <row r="143" spans="33:67">
      <c r="AG143" s="450"/>
      <c r="AO143" s="385"/>
      <c r="BG143" s="332" t="e">
        <f t="shared" ca="1" si="10"/>
        <v>#N/A</v>
      </c>
      <c r="BH143" s="385">
        <f t="shared" ca="1" si="15"/>
        <v>43618</v>
      </c>
      <c r="BI143" s="269">
        <v>400.75938180794935</v>
      </c>
      <c r="BJ143" s="385">
        <f t="shared" ca="1" si="9"/>
        <v>43618</v>
      </c>
      <c r="BK143" s="269">
        <v>402.28680271143094</v>
      </c>
      <c r="BL143" s="269">
        <f t="shared" ca="1" si="11"/>
        <v>1000</v>
      </c>
      <c r="BM143" s="269">
        <f t="shared" ca="1" si="12"/>
        <v>0</v>
      </c>
      <c r="BN143" s="269">
        <f t="shared" ca="1" si="13"/>
        <v>0</v>
      </c>
      <c r="BO143" s="269">
        <f t="shared" ca="1" si="14"/>
        <v>0</v>
      </c>
    </row>
    <row r="144" spans="33:67">
      <c r="AG144" s="450"/>
      <c r="AO144" s="385"/>
      <c r="BG144" s="332" t="e">
        <f t="shared" ca="1" si="10"/>
        <v>#N/A</v>
      </c>
      <c r="BH144" s="385">
        <f t="shared" ca="1" si="15"/>
        <v>43619</v>
      </c>
      <c r="BI144" s="269">
        <v>396.15389089334758</v>
      </c>
      <c r="BJ144" s="385">
        <f t="shared" ca="1" si="9"/>
        <v>43619</v>
      </c>
      <c r="BK144" s="269">
        <v>399.43717685090377</v>
      </c>
      <c r="BL144" s="269">
        <f t="shared" ca="1" si="11"/>
        <v>1000</v>
      </c>
      <c r="BM144" s="269">
        <f t="shared" ca="1" si="12"/>
        <v>0</v>
      </c>
      <c r="BN144" s="269">
        <f t="shared" ca="1" si="13"/>
        <v>0</v>
      </c>
      <c r="BO144" s="269">
        <f t="shared" ca="1" si="14"/>
        <v>0</v>
      </c>
    </row>
    <row r="145" spans="33:67">
      <c r="AG145" s="450"/>
      <c r="AO145" s="385"/>
      <c r="BG145" s="332" t="e">
        <f t="shared" ca="1" si="10"/>
        <v>#N/A</v>
      </c>
      <c r="BH145" s="385">
        <f t="shared" ca="1" si="15"/>
        <v>43620</v>
      </c>
      <c r="BI145" s="269">
        <v>391.49794544419274</v>
      </c>
      <c r="BJ145" s="385">
        <f t="shared" ca="1" si="9"/>
        <v>43620</v>
      </c>
      <c r="BK145" s="269">
        <v>396.48602038947865</v>
      </c>
      <c r="BL145" s="269">
        <f t="shared" ca="1" si="11"/>
        <v>1000</v>
      </c>
      <c r="BM145" s="269">
        <f t="shared" ca="1" si="12"/>
        <v>0</v>
      </c>
      <c r="BN145" s="269">
        <f t="shared" ca="1" si="13"/>
        <v>0</v>
      </c>
      <c r="BO145" s="269">
        <f t="shared" ca="1" si="14"/>
        <v>0</v>
      </c>
    </row>
    <row r="146" spans="33:67">
      <c r="AG146" s="450"/>
      <c r="AO146" s="385"/>
      <c r="BG146" s="332" t="e">
        <f t="shared" ca="1" si="10"/>
        <v>#N/A</v>
      </c>
      <c r="BH146" s="385">
        <f t="shared" ca="1" si="15"/>
        <v>43621</v>
      </c>
      <c r="BI146" s="269">
        <v>386.79154543567449</v>
      </c>
      <c r="BJ146" s="385">
        <f t="shared" ca="1" si="9"/>
        <v>43621</v>
      </c>
      <c r="BK146" s="269">
        <v>393.43333332715554</v>
      </c>
      <c r="BL146" s="269">
        <f t="shared" ca="1" si="11"/>
        <v>1000</v>
      </c>
      <c r="BM146" s="269">
        <f t="shared" ca="1" si="12"/>
        <v>0</v>
      </c>
      <c r="BN146" s="269">
        <f t="shared" ca="1" si="13"/>
        <v>0</v>
      </c>
      <c r="BO146" s="269">
        <f t="shared" ca="1" si="14"/>
        <v>0</v>
      </c>
    </row>
    <row r="147" spans="33:67">
      <c r="AG147" s="450"/>
      <c r="AO147" s="385"/>
      <c r="BG147" s="332" t="e">
        <f t="shared" ca="1" si="10"/>
        <v>#N/A</v>
      </c>
      <c r="BH147" s="385">
        <f t="shared" ca="1" si="15"/>
        <v>43622</v>
      </c>
      <c r="BI147" s="269">
        <v>382.03469089880582</v>
      </c>
      <c r="BJ147" s="385">
        <f t="shared" ca="1" si="9"/>
        <v>43622</v>
      </c>
      <c r="BK147" s="269">
        <v>390.27911564540119</v>
      </c>
      <c r="BL147" s="269">
        <f t="shared" ca="1" si="11"/>
        <v>1000</v>
      </c>
      <c r="BM147" s="269">
        <f t="shared" ca="1" si="12"/>
        <v>0</v>
      </c>
      <c r="BN147" s="269">
        <f t="shared" ca="1" si="13"/>
        <v>0</v>
      </c>
      <c r="BO147" s="269">
        <f t="shared" ca="1" si="14"/>
        <v>0</v>
      </c>
    </row>
    <row r="148" spans="33:67">
      <c r="AG148" s="450"/>
      <c r="AO148" s="385"/>
      <c r="BG148" s="332" t="e">
        <f t="shared" ref="BG148:BG179" ca="1" si="16">IF(BH148&lt;$AO$96+$AO$97,NA(),$P$51)</f>
        <v>#N/A</v>
      </c>
      <c r="BH148" s="385">
        <f t="shared" ca="1" si="15"/>
        <v>43623</v>
      </c>
      <c r="BI148" s="269">
        <v>377.22738181497897</v>
      </c>
      <c r="BJ148" s="385">
        <f t="shared" ca="1" si="9"/>
        <v>43623</v>
      </c>
      <c r="BK148" s="269">
        <v>387.0233673442155</v>
      </c>
      <c r="BL148" s="269">
        <f t="shared" ca="1" si="11"/>
        <v>1000</v>
      </c>
      <c r="BM148" s="269">
        <f t="shared" ca="1" si="12"/>
        <v>0</v>
      </c>
      <c r="BN148" s="269">
        <f t="shared" ca="1" si="13"/>
        <v>0</v>
      </c>
      <c r="BO148" s="269">
        <f t="shared" ca="1" si="14"/>
        <v>0</v>
      </c>
    </row>
    <row r="149" spans="33:67">
      <c r="AG149" s="450"/>
      <c r="AO149" s="385"/>
      <c r="BG149" s="332" t="e">
        <f t="shared" ca="1" si="16"/>
        <v>#N/A</v>
      </c>
      <c r="BH149" s="385">
        <f t="shared" ca="1" si="15"/>
        <v>43624</v>
      </c>
      <c r="BI149" s="269">
        <v>372.36961816558613</v>
      </c>
      <c r="BJ149" s="385">
        <f t="shared" ca="1" si="9"/>
        <v>43624</v>
      </c>
      <c r="BK149" s="269">
        <v>383.66608844213187</v>
      </c>
      <c r="BL149" s="269">
        <f t="shared" ref="BL149:BL180" ca="1" si="17">IF(AND(BH149&gt;=$AO$96,BH149&lt;=$AO$96+$AO$97),1000,0)</f>
        <v>1000</v>
      </c>
      <c r="BM149" s="269">
        <f t="shared" ref="BM149:BM180" ca="1" si="18">IF(BH149=$AO$98,1000,0)</f>
        <v>0</v>
      </c>
      <c r="BN149" s="269">
        <f t="shared" ref="BN149:BN180" ca="1" si="19">IF(BH149=$AP$98,1000,0)</f>
        <v>0</v>
      </c>
      <c r="BO149" s="269">
        <f t="shared" ref="BO149:BO180" ca="1" si="20">IF(AND(BH149&gt;=$AP$96,BH149&lt;=$AP$96+$AP$97),1000,0)</f>
        <v>0</v>
      </c>
    </row>
    <row r="150" spans="33:67">
      <c r="AG150" s="450"/>
      <c r="AO150" s="385"/>
      <c r="BG150" s="332" t="e">
        <f t="shared" ca="1" si="16"/>
        <v>#N/A</v>
      </c>
      <c r="BH150" s="385">
        <f t="shared" ca="1" si="15"/>
        <v>43625</v>
      </c>
      <c r="BI150" s="269">
        <v>367.46139999404556</v>
      </c>
      <c r="BJ150" s="385">
        <f t="shared" ca="1" si="9"/>
        <v>43625</v>
      </c>
      <c r="BK150" s="269">
        <v>380.20727892061694</v>
      </c>
      <c r="BL150" s="269">
        <f t="shared" ca="1" si="17"/>
        <v>1000</v>
      </c>
      <c r="BM150" s="269">
        <f t="shared" ca="1" si="18"/>
        <v>0</v>
      </c>
      <c r="BN150" s="269">
        <f t="shared" ca="1" si="19"/>
        <v>0</v>
      </c>
      <c r="BO150" s="269">
        <f t="shared" ca="1" si="20"/>
        <v>0</v>
      </c>
    </row>
    <row r="151" spans="33:67">
      <c r="AG151" s="450"/>
      <c r="AO151" s="385"/>
      <c r="BG151" s="332" t="e">
        <f t="shared" ca="1" si="16"/>
        <v>#N/A</v>
      </c>
      <c r="BH151" s="385">
        <f t="shared" ca="1" si="15"/>
        <v>43626</v>
      </c>
      <c r="BI151" s="269">
        <v>362.50272725693878</v>
      </c>
      <c r="BJ151" s="385">
        <f t="shared" ca="1" si="9"/>
        <v>43626</v>
      </c>
      <c r="BK151" s="269">
        <v>376.64693874260411</v>
      </c>
      <c r="BL151" s="269">
        <f t="shared" ca="1" si="17"/>
        <v>1000</v>
      </c>
      <c r="BM151" s="269">
        <f t="shared" ca="1" si="18"/>
        <v>0</v>
      </c>
      <c r="BN151" s="269">
        <f t="shared" ca="1" si="19"/>
        <v>0</v>
      </c>
      <c r="BO151" s="269">
        <f t="shared" ca="1" si="20"/>
        <v>0</v>
      </c>
    </row>
    <row r="152" spans="33:67">
      <c r="AG152" s="450"/>
      <c r="AO152" s="385"/>
      <c r="BG152" s="332" t="e">
        <f t="shared" ca="1" si="16"/>
        <v>#N/A</v>
      </c>
      <c r="BH152" s="385">
        <f t="shared" ca="1" si="15"/>
        <v>43627</v>
      </c>
      <c r="BI152" s="269">
        <v>357.4935999914818</v>
      </c>
      <c r="BJ152" s="385">
        <f t="shared" ca="1" si="9"/>
        <v>43627</v>
      </c>
      <c r="BK152" s="269">
        <v>372.98506800075995</v>
      </c>
      <c r="BL152" s="269">
        <f t="shared" ca="1" si="17"/>
        <v>1000</v>
      </c>
      <c r="BM152" s="269">
        <f t="shared" ca="1" si="18"/>
        <v>0</v>
      </c>
      <c r="BN152" s="269">
        <f t="shared" ca="1" si="19"/>
        <v>0</v>
      </c>
      <c r="BO152" s="269">
        <f t="shared" ca="1" si="20"/>
        <v>0</v>
      </c>
    </row>
    <row r="153" spans="33:67">
      <c r="AG153" s="450"/>
      <c r="AO153" s="385"/>
      <c r="BG153" s="332" t="e">
        <f t="shared" ca="1" si="16"/>
        <v>#N/A</v>
      </c>
      <c r="BH153" s="385">
        <f t="shared" ca="1" si="15"/>
        <v>43628</v>
      </c>
      <c r="BI153" s="269">
        <v>352.4340181666613</v>
      </c>
      <c r="BJ153" s="385">
        <f t="shared" ca="1" si="9"/>
        <v>43628</v>
      </c>
      <c r="BK153" s="269">
        <v>369.22166663948445</v>
      </c>
      <c r="BL153" s="269">
        <f t="shared" ca="1" si="17"/>
        <v>1000</v>
      </c>
      <c r="BM153" s="269">
        <f t="shared" ca="1" si="18"/>
        <v>0</v>
      </c>
      <c r="BN153" s="269">
        <f t="shared" ca="1" si="19"/>
        <v>0</v>
      </c>
      <c r="BO153" s="269">
        <f t="shared" ca="1" si="20"/>
        <v>0</v>
      </c>
    </row>
    <row r="154" spans="33:67">
      <c r="AG154" s="450"/>
      <c r="AO154" s="385"/>
      <c r="BG154" s="332" t="e">
        <f t="shared" ca="1" si="16"/>
        <v>#N/A</v>
      </c>
      <c r="BH154" s="385">
        <f t="shared" ca="1" si="15"/>
        <v>43629</v>
      </c>
      <c r="BI154" s="269">
        <v>347.32398180728785</v>
      </c>
      <c r="BJ154" s="385">
        <f t="shared" ca="1" si="9"/>
        <v>43629</v>
      </c>
      <c r="BK154" s="269">
        <v>365.35673467731101</v>
      </c>
      <c r="BL154" s="269">
        <f t="shared" ca="1" si="17"/>
        <v>1000</v>
      </c>
      <c r="BM154" s="269">
        <f t="shared" ca="1" si="18"/>
        <v>0</v>
      </c>
      <c r="BN154" s="269">
        <f t="shared" ca="1" si="19"/>
        <v>0</v>
      </c>
      <c r="BO154" s="269">
        <f t="shared" ca="1" si="20"/>
        <v>0</v>
      </c>
    </row>
    <row r="155" spans="33:67">
      <c r="AG155" s="450"/>
      <c r="AO155" s="385"/>
      <c r="BG155" s="332" t="e">
        <f t="shared" ca="1" si="16"/>
        <v>#N/A</v>
      </c>
      <c r="BH155" s="385">
        <f t="shared" ca="1" si="15"/>
        <v>43630</v>
      </c>
      <c r="BI155" s="269">
        <v>342.16349089475352</v>
      </c>
      <c r="BJ155" s="385">
        <f t="shared" ca="1" si="9"/>
        <v>43630</v>
      </c>
      <c r="BK155" s="269">
        <v>361.39027209570634</v>
      </c>
      <c r="BL155" s="269">
        <f t="shared" ca="1" si="17"/>
        <v>1000</v>
      </c>
      <c r="BM155" s="269">
        <f t="shared" ca="1" si="18"/>
        <v>0</v>
      </c>
      <c r="BN155" s="269">
        <f t="shared" ca="1" si="19"/>
        <v>0</v>
      </c>
      <c r="BO155" s="269">
        <f t="shared" ca="1" si="20"/>
        <v>0</v>
      </c>
    </row>
    <row r="156" spans="33:67">
      <c r="AG156" s="450"/>
      <c r="AO156" s="385"/>
      <c r="BG156" s="332" t="e">
        <f t="shared" ca="1" si="16"/>
        <v>#N/A</v>
      </c>
      <c r="BH156" s="385">
        <f t="shared" ca="1" si="15"/>
        <v>43631</v>
      </c>
      <c r="BI156" s="269">
        <v>336.9525454414636</v>
      </c>
      <c r="BJ156" s="385">
        <f t="shared" ca="1" si="9"/>
        <v>43631</v>
      </c>
      <c r="BK156" s="269">
        <v>357.32227889467032</v>
      </c>
      <c r="BL156" s="269">
        <f t="shared" ca="1" si="17"/>
        <v>1000</v>
      </c>
      <c r="BM156" s="269">
        <f t="shared" ca="1" si="18"/>
        <v>0</v>
      </c>
      <c r="BN156" s="269">
        <f t="shared" ca="1" si="19"/>
        <v>0</v>
      </c>
      <c r="BO156" s="269">
        <f t="shared" ca="1" si="20"/>
        <v>0</v>
      </c>
    </row>
    <row r="157" spans="33:67">
      <c r="AG157" s="450"/>
      <c r="AO157" s="385"/>
      <c r="BG157" s="332" t="e">
        <f t="shared" ca="1" si="16"/>
        <v>#N/A</v>
      </c>
      <c r="BH157" s="385">
        <f t="shared" ca="1" si="15"/>
        <v>43632</v>
      </c>
      <c r="BI157" s="269">
        <v>331.69114543501291</v>
      </c>
      <c r="BJ157" s="385">
        <f t="shared" ca="1" si="9"/>
        <v>43632</v>
      </c>
      <c r="BK157" s="269">
        <v>353.15275509273636</v>
      </c>
      <c r="BL157" s="269">
        <f t="shared" ca="1" si="17"/>
        <v>1000</v>
      </c>
      <c r="BM157" s="269">
        <f t="shared" ca="1" si="18"/>
        <v>0</v>
      </c>
      <c r="BN157" s="269">
        <f t="shared" ca="1" si="19"/>
        <v>0</v>
      </c>
      <c r="BO157" s="269">
        <f t="shared" ca="1" si="20"/>
        <v>0</v>
      </c>
    </row>
    <row r="158" spans="33:67">
      <c r="AG158" s="450"/>
      <c r="AO158" s="385"/>
      <c r="BG158" s="332" t="e">
        <f t="shared" ca="1" si="16"/>
        <v>#N/A</v>
      </c>
      <c r="BH158" s="385">
        <f t="shared" ca="1" si="15"/>
        <v>43633</v>
      </c>
      <c r="BI158" s="269">
        <v>326.37929089400916</v>
      </c>
      <c r="BJ158" s="385">
        <f t="shared" ca="1" si="9"/>
        <v>43633</v>
      </c>
      <c r="BK158" s="269">
        <v>348.88170067137105</v>
      </c>
      <c r="BL158" s="269">
        <f t="shared" ca="1" si="17"/>
        <v>1000</v>
      </c>
      <c r="BM158" s="269">
        <f t="shared" ca="1" si="18"/>
        <v>0</v>
      </c>
      <c r="BN158" s="269">
        <f t="shared" ca="1" si="19"/>
        <v>0</v>
      </c>
      <c r="BO158" s="269">
        <f t="shared" ca="1" si="20"/>
        <v>0</v>
      </c>
    </row>
    <row r="159" spans="33:67">
      <c r="AG159" s="450"/>
      <c r="AO159" s="385"/>
      <c r="BG159" s="332" t="e">
        <f t="shared" ca="1" si="16"/>
        <v>#N/A</v>
      </c>
      <c r="BH159" s="385">
        <f t="shared" ca="1" si="15"/>
        <v>43634</v>
      </c>
      <c r="BI159" s="269">
        <v>321.01698181224981</v>
      </c>
      <c r="BJ159" s="385">
        <f t="shared" ca="1" si="9"/>
        <v>43634</v>
      </c>
      <c r="BK159" s="269">
        <v>344.50911564910786</v>
      </c>
      <c r="BL159" s="269">
        <f t="shared" ca="1" si="17"/>
        <v>1000</v>
      </c>
      <c r="BM159" s="269">
        <f t="shared" ca="1" si="18"/>
        <v>0</v>
      </c>
      <c r="BN159" s="269">
        <f t="shared" ca="1" si="19"/>
        <v>0</v>
      </c>
      <c r="BO159" s="269">
        <f t="shared" ca="1" si="20"/>
        <v>0</v>
      </c>
    </row>
    <row r="160" spans="33:67">
      <c r="AG160" s="450"/>
      <c r="AO160" s="385"/>
      <c r="BG160" s="332" t="e">
        <f t="shared" ca="1" si="16"/>
        <v>#N/A</v>
      </c>
      <c r="BH160" s="385">
        <f t="shared" ca="1" si="15"/>
        <v>43635</v>
      </c>
      <c r="BI160" s="269">
        <v>315.60421816492453</v>
      </c>
      <c r="BJ160" s="385">
        <f t="shared" ca="1" si="9"/>
        <v>43635</v>
      </c>
      <c r="BK160" s="269">
        <v>340.03500000741332</v>
      </c>
      <c r="BL160" s="269">
        <f t="shared" ca="1" si="17"/>
        <v>1000</v>
      </c>
      <c r="BM160" s="269">
        <f t="shared" ca="1" si="18"/>
        <v>0</v>
      </c>
      <c r="BN160" s="269">
        <f t="shared" ca="1" si="19"/>
        <v>0</v>
      </c>
      <c r="BO160" s="269">
        <f t="shared" ca="1" si="20"/>
        <v>0</v>
      </c>
    </row>
    <row r="161" spans="33:67">
      <c r="AG161" s="450"/>
      <c r="AO161" s="385"/>
      <c r="BG161" s="332">
        <f ca="1">IF(BH161&lt;$AO$96+$AO$97,NA(),$P$51)</f>
        <v>317.39999999999998</v>
      </c>
      <c r="BH161" s="385">
        <f t="shared" ca="1" si="15"/>
        <v>43636</v>
      </c>
      <c r="BI161" s="269">
        <v>310.14099998924883</v>
      </c>
      <c r="BJ161" s="385">
        <f t="shared" ca="1" si="9"/>
        <v>43636</v>
      </c>
      <c r="BK161" s="269">
        <v>335.45935374628755</v>
      </c>
      <c r="BL161" s="269">
        <f t="shared" ca="1" si="17"/>
        <v>1000</v>
      </c>
      <c r="BM161" s="269">
        <f t="shared" ca="1" si="18"/>
        <v>0</v>
      </c>
      <c r="BN161" s="269">
        <f t="shared" ca="1" si="19"/>
        <v>0</v>
      </c>
      <c r="BO161" s="269">
        <f t="shared" ca="1" si="20"/>
        <v>1000</v>
      </c>
    </row>
    <row r="162" spans="33:67">
      <c r="AG162" s="450"/>
      <c r="AO162" s="385"/>
      <c r="BG162" s="332">
        <f t="shared" ca="1" si="16"/>
        <v>317.39999999999998</v>
      </c>
      <c r="BH162" s="385">
        <f t="shared" ca="1" si="15"/>
        <v>43637</v>
      </c>
      <c r="BI162" s="269">
        <v>304.62732726041224</v>
      </c>
      <c r="BJ162" s="385">
        <f t="shared" ca="1" si="9"/>
        <v>43637</v>
      </c>
      <c r="BK162" s="269">
        <v>461.27217688426379</v>
      </c>
      <c r="BL162" s="269">
        <f t="shared" ca="1" si="17"/>
        <v>0</v>
      </c>
      <c r="BM162" s="269">
        <f t="shared" ca="1" si="18"/>
        <v>0</v>
      </c>
      <c r="BN162" s="269">
        <f t="shared" ca="1" si="19"/>
        <v>0</v>
      </c>
      <c r="BO162" s="269">
        <f t="shared" ca="1" si="20"/>
        <v>1000</v>
      </c>
    </row>
    <row r="163" spans="33:67">
      <c r="AG163" s="450"/>
      <c r="AO163" s="385"/>
      <c r="BG163" s="332">
        <f t="shared" ca="1" si="16"/>
        <v>317.39999999999998</v>
      </c>
      <c r="BH163" s="385">
        <f t="shared" ca="1" si="15"/>
        <v>43638</v>
      </c>
      <c r="BI163" s="269">
        <v>299.06319999082018</v>
      </c>
      <c r="BJ163" s="385">
        <f t="shared" ca="1" si="9"/>
        <v>43638</v>
      </c>
      <c r="BK163" s="269">
        <v>456.49346936574204</v>
      </c>
      <c r="BL163" s="269">
        <f t="shared" ca="1" si="17"/>
        <v>0</v>
      </c>
      <c r="BM163" s="269">
        <f t="shared" ca="1" si="18"/>
        <v>0</v>
      </c>
      <c r="BN163" s="269">
        <f t="shared" ca="1" si="19"/>
        <v>0</v>
      </c>
      <c r="BO163" s="269">
        <f t="shared" ca="1" si="20"/>
        <v>1000</v>
      </c>
    </row>
    <row r="164" spans="33:67">
      <c r="AG164" s="450"/>
      <c r="AO164" s="385"/>
      <c r="BG164" s="332">
        <f t="shared" ca="1" si="16"/>
        <v>317.39999999999998</v>
      </c>
      <c r="BH164" s="385">
        <f t="shared" ca="1" si="15"/>
        <v>43639</v>
      </c>
      <c r="BI164" s="269">
        <v>293.44861816806713</v>
      </c>
      <c r="BJ164" s="385">
        <f t="shared" ca="1" si="9"/>
        <v>43639</v>
      </c>
      <c r="BK164" s="269">
        <v>451.6132312648557</v>
      </c>
      <c r="BL164" s="269">
        <f t="shared" ca="1" si="17"/>
        <v>0</v>
      </c>
      <c r="BM164" s="269">
        <f t="shared" ca="1" si="18"/>
        <v>0</v>
      </c>
      <c r="BN164" s="269">
        <f t="shared" ca="1" si="19"/>
        <v>0</v>
      </c>
      <c r="BO164" s="269">
        <f t="shared" ca="1" si="20"/>
        <v>1000</v>
      </c>
    </row>
    <row r="165" spans="33:67">
      <c r="AG165" s="450"/>
      <c r="AO165" s="385"/>
      <c r="BG165" s="332">
        <f ca="1">IF(BH165&lt;$AO$96+$AO$97,NA(),$P$51)</f>
        <v>317.39999999999998</v>
      </c>
      <c r="BH165" s="385">
        <f t="shared" ca="1" si="15"/>
        <v>43640</v>
      </c>
      <c r="BI165" s="269">
        <v>287.78358180455859</v>
      </c>
      <c r="BJ165" s="385">
        <f t="shared" ca="1" si="9"/>
        <v>43640</v>
      </c>
      <c r="BK165" s="269">
        <v>446.63146256307141</v>
      </c>
      <c r="BL165" s="269">
        <f t="shared" ca="1" si="17"/>
        <v>0</v>
      </c>
      <c r="BM165" s="269">
        <f t="shared" ca="1" si="18"/>
        <v>0</v>
      </c>
      <c r="BN165" s="269">
        <f t="shared" ca="1" si="19"/>
        <v>0</v>
      </c>
      <c r="BO165" s="269">
        <f t="shared" ca="1" si="20"/>
        <v>1000</v>
      </c>
    </row>
    <row r="166" spans="33:67">
      <c r="AG166" s="450"/>
      <c r="AO166" s="385"/>
      <c r="BE166" s="490">
        <f ca="1">AO96+AO97</f>
        <v>43636</v>
      </c>
      <c r="BF166" s="269" t="b">
        <f ca="1">BH166&lt;BE166</f>
        <v>0</v>
      </c>
      <c r="BG166" s="332">
        <f ca="1">IF(BH166&lt;$AO$96+$AO$97,NA(),$P$51)</f>
        <v>317.39999999999998</v>
      </c>
      <c r="BH166" s="490">
        <f t="shared" ca="1" si="15"/>
        <v>43641</v>
      </c>
      <c r="BI166" s="269">
        <v>282.06809089409182</v>
      </c>
      <c r="BJ166" s="385">
        <f t="shared" ca="1" si="9"/>
        <v>43641</v>
      </c>
      <c r="BK166" s="269">
        <v>441.54816324185583</v>
      </c>
      <c r="BL166" s="269">
        <f t="shared" ca="1" si="17"/>
        <v>0</v>
      </c>
      <c r="BM166" s="269">
        <f t="shared" ca="1" si="18"/>
        <v>0</v>
      </c>
      <c r="BN166" s="269">
        <f t="shared" ca="1" si="19"/>
        <v>0</v>
      </c>
      <c r="BO166" s="269">
        <f t="shared" ca="1" si="20"/>
        <v>1000</v>
      </c>
    </row>
    <row r="167" spans="33:67">
      <c r="AG167" s="450"/>
      <c r="AO167" s="385"/>
      <c r="BG167" s="332">
        <f t="shared" ca="1" si="16"/>
        <v>317.39999999999998</v>
      </c>
      <c r="BH167" s="385">
        <f t="shared" ca="1" si="15"/>
        <v>43642</v>
      </c>
      <c r="BI167" s="269">
        <v>276.30214544286957</v>
      </c>
      <c r="BJ167" s="385">
        <f t="shared" ca="1" si="9"/>
        <v>43642</v>
      </c>
      <c r="BK167" s="269">
        <v>436.36333331974225</v>
      </c>
      <c r="BL167" s="269">
        <f t="shared" ca="1" si="17"/>
        <v>0</v>
      </c>
      <c r="BM167" s="269">
        <f t="shared" ca="1" si="18"/>
        <v>0</v>
      </c>
      <c r="BN167" s="269">
        <f t="shared" ca="1" si="19"/>
        <v>0</v>
      </c>
      <c r="BO167" s="269">
        <f t="shared" ca="1" si="20"/>
        <v>1000</v>
      </c>
    </row>
    <row r="168" spans="33:67">
      <c r="AG168" s="450"/>
      <c r="AO168" s="385"/>
      <c r="BG168" s="332">
        <f t="shared" ca="1" si="16"/>
        <v>317.39999999999998</v>
      </c>
      <c r="BH168" s="385">
        <f t="shared" ca="1" si="15"/>
        <v>43643</v>
      </c>
      <c r="BI168" s="269">
        <v>270.48574545089161</v>
      </c>
      <c r="BJ168" s="385">
        <f t="shared" ca="1" si="9"/>
        <v>43643</v>
      </c>
      <c r="BK168" s="269">
        <v>431.07697277819739</v>
      </c>
      <c r="BL168" s="269">
        <f t="shared" ca="1" si="17"/>
        <v>0</v>
      </c>
      <c r="BM168" s="269">
        <f t="shared" ca="1" si="18"/>
        <v>0</v>
      </c>
      <c r="BN168" s="269">
        <f t="shared" ca="1" si="19"/>
        <v>0</v>
      </c>
      <c r="BO168" s="269">
        <f t="shared" ca="1" si="20"/>
        <v>1000</v>
      </c>
    </row>
    <row r="169" spans="33:67">
      <c r="AG169" s="450"/>
      <c r="AO169" s="385"/>
      <c r="BG169" s="332">
        <f t="shared" ca="1" si="16"/>
        <v>317.39999999999998</v>
      </c>
      <c r="BH169" s="385">
        <f t="shared" ca="1" si="15"/>
        <v>43644</v>
      </c>
      <c r="BI169" s="269">
        <v>264.61889089334761</v>
      </c>
      <c r="BJ169" s="385">
        <f t="shared" ca="1" si="9"/>
        <v>43644</v>
      </c>
      <c r="BK169" s="269">
        <v>425.68908161722123</v>
      </c>
      <c r="BL169" s="269">
        <f t="shared" ca="1" si="17"/>
        <v>0</v>
      </c>
      <c r="BM169" s="269">
        <f t="shared" ca="1" si="18"/>
        <v>0</v>
      </c>
      <c r="BN169" s="269">
        <f t="shared" ca="1" si="19"/>
        <v>0</v>
      </c>
      <c r="BO169" s="269">
        <f t="shared" ca="1" si="20"/>
        <v>1000</v>
      </c>
    </row>
    <row r="170" spans="33:67">
      <c r="AG170" s="450"/>
      <c r="AO170" s="385"/>
      <c r="BG170" s="332">
        <f t="shared" ca="1" si="16"/>
        <v>317.39999999999998</v>
      </c>
      <c r="BH170" s="385">
        <f t="shared" ca="1" si="15"/>
        <v>43645</v>
      </c>
      <c r="BI170" s="269">
        <v>258.70158180745318</v>
      </c>
      <c r="BJ170" s="385">
        <f t="shared" ca="1" si="9"/>
        <v>43645</v>
      </c>
      <c r="BK170" s="269">
        <v>420.19965985534714</v>
      </c>
      <c r="BL170" s="269">
        <f t="shared" ca="1" si="17"/>
        <v>0</v>
      </c>
      <c r="BM170" s="269">
        <f t="shared" ca="1" si="18"/>
        <v>0</v>
      </c>
      <c r="BN170" s="269">
        <f t="shared" ca="1" si="19"/>
        <v>0</v>
      </c>
      <c r="BO170" s="269">
        <f t="shared" ca="1" si="20"/>
        <v>1000</v>
      </c>
    </row>
    <row r="171" spans="33:67">
      <c r="AG171" s="450"/>
      <c r="AO171" s="385"/>
      <c r="BG171" s="332">
        <f t="shared" ca="1" si="16"/>
        <v>317.39999999999998</v>
      </c>
      <c r="BH171" s="385">
        <f t="shared" ca="1" si="15"/>
        <v>43646</v>
      </c>
      <c r="BI171" s="269">
        <v>252.73381816839802</v>
      </c>
      <c r="BJ171" s="385">
        <f t="shared" ca="1" si="9"/>
        <v>43646</v>
      </c>
      <c r="BK171" s="269">
        <v>414.60870747404175</v>
      </c>
      <c r="BL171" s="269">
        <f t="shared" ca="1" si="17"/>
        <v>0</v>
      </c>
      <c r="BM171" s="269">
        <f t="shared" ca="1" si="18"/>
        <v>0</v>
      </c>
      <c r="BN171" s="269">
        <f t="shared" ca="1" si="19"/>
        <v>0</v>
      </c>
      <c r="BO171" s="269">
        <f t="shared" ca="1" si="20"/>
        <v>1000</v>
      </c>
    </row>
    <row r="172" spans="33:67">
      <c r="AG172" s="450"/>
      <c r="AO172" s="385"/>
      <c r="BG172" s="332">
        <f t="shared" ca="1" si="16"/>
        <v>317.39999999999998</v>
      </c>
      <c r="BH172" s="385">
        <f t="shared" ca="1" si="15"/>
        <v>43647</v>
      </c>
      <c r="BI172" s="269">
        <v>246.7155999885872</v>
      </c>
      <c r="BJ172" s="385">
        <f t="shared" ref="BJ172:BJ186" ca="1" si="21">BH172</f>
        <v>43647</v>
      </c>
      <c r="BK172" s="269">
        <v>408.91622449183836</v>
      </c>
      <c r="BL172" s="269">
        <f t="shared" ca="1" si="17"/>
        <v>0</v>
      </c>
      <c r="BM172" s="269">
        <f t="shared" ca="1" si="18"/>
        <v>0</v>
      </c>
      <c r="BN172" s="269">
        <f t="shared" ca="1" si="19"/>
        <v>0</v>
      </c>
      <c r="BO172" s="269">
        <f t="shared" ca="1" si="20"/>
        <v>1000</v>
      </c>
    </row>
    <row r="173" spans="33:67">
      <c r="AG173" s="450"/>
      <c r="AO173" s="385"/>
      <c r="BG173" s="332">
        <f t="shared" ca="1" si="16"/>
        <v>317.39999999999998</v>
      </c>
      <c r="BH173" s="385">
        <f t="shared" ca="1" si="15"/>
        <v>43648</v>
      </c>
      <c r="BI173" s="269">
        <v>240.64692725561565</v>
      </c>
      <c r="BJ173" s="385">
        <f t="shared" ca="1" si="21"/>
        <v>43648</v>
      </c>
      <c r="BK173" s="269">
        <v>403.12221089020375</v>
      </c>
      <c r="BL173" s="269">
        <f t="shared" ca="1" si="17"/>
        <v>0</v>
      </c>
      <c r="BM173" s="269">
        <f t="shared" ca="1" si="18"/>
        <v>0</v>
      </c>
      <c r="BN173" s="269">
        <f t="shared" ca="1" si="19"/>
        <v>0</v>
      </c>
      <c r="BO173" s="269">
        <f t="shared" ca="1" si="20"/>
        <v>1000</v>
      </c>
    </row>
    <row r="174" spans="33:67">
      <c r="AG174" s="450"/>
      <c r="AO174" s="385"/>
      <c r="BG174" s="332">
        <f t="shared" ca="1" si="16"/>
        <v>317.39999999999998</v>
      </c>
      <c r="BH174" s="385">
        <f t="shared" ca="1" si="15"/>
        <v>43649</v>
      </c>
      <c r="BI174" s="269">
        <v>234.52779998809103</v>
      </c>
      <c r="BJ174" s="385">
        <f t="shared" ca="1" si="21"/>
        <v>43649</v>
      </c>
      <c r="BK174" s="269">
        <v>397.22666663207116</v>
      </c>
      <c r="BL174" s="269">
        <f t="shared" ca="1" si="17"/>
        <v>0</v>
      </c>
      <c r="BM174" s="269">
        <f t="shared" ca="1" si="18"/>
        <v>0</v>
      </c>
      <c r="BN174" s="269">
        <f t="shared" ca="1" si="19"/>
        <v>0</v>
      </c>
      <c r="BO174" s="269">
        <f t="shared" ca="1" si="20"/>
        <v>1000</v>
      </c>
    </row>
    <row r="175" spans="33:67">
      <c r="AG175" s="450"/>
      <c r="AO175" s="385"/>
      <c r="BG175" s="332">
        <f t="shared" ca="1" si="16"/>
        <v>317.39999999999998</v>
      </c>
      <c r="BH175" s="385">
        <f t="shared" ca="1" si="15"/>
        <v>43650</v>
      </c>
      <c r="BI175" s="269">
        <v>228.3582181674056</v>
      </c>
      <c r="BJ175" s="385">
        <f t="shared" ca="1" si="21"/>
        <v>43650</v>
      </c>
      <c r="BK175" s="269">
        <v>391.22959181010725</v>
      </c>
      <c r="BL175" s="269">
        <f t="shared" ca="1" si="17"/>
        <v>0</v>
      </c>
      <c r="BM175" s="269">
        <f t="shared" ca="1" si="18"/>
        <v>0</v>
      </c>
      <c r="BN175" s="269">
        <f t="shared" ca="1" si="19"/>
        <v>0</v>
      </c>
      <c r="BO175" s="269">
        <f t="shared" ca="1" si="20"/>
        <v>1000</v>
      </c>
    </row>
    <row r="176" spans="33:67">
      <c r="AG176" s="450"/>
      <c r="AO176" s="385"/>
      <c r="BG176" s="332">
        <f t="shared" ca="1" si="16"/>
        <v>317.39999999999998</v>
      </c>
      <c r="BH176" s="385">
        <f t="shared" ca="1" si="15"/>
        <v>43651</v>
      </c>
      <c r="BI176" s="269">
        <v>222.13818180596454</v>
      </c>
      <c r="BJ176" s="385">
        <f t="shared" ca="1" si="21"/>
        <v>43651</v>
      </c>
      <c r="BK176" s="269">
        <v>385.13098636871194</v>
      </c>
      <c r="BL176" s="269">
        <f t="shared" ca="1" si="17"/>
        <v>0</v>
      </c>
      <c r="BM176" s="269">
        <f t="shared" ca="1" si="18"/>
        <v>0</v>
      </c>
      <c r="BN176" s="269">
        <f t="shared" ca="1" si="19"/>
        <v>0</v>
      </c>
      <c r="BO176" s="269">
        <f t="shared" ca="1" si="20"/>
        <v>1000</v>
      </c>
    </row>
    <row r="177" spans="33:67">
      <c r="AG177" s="450"/>
      <c r="AO177" s="385"/>
      <c r="BG177" s="332">
        <f t="shared" ca="1" si="16"/>
        <v>317.39999999999998</v>
      </c>
      <c r="BH177" s="385">
        <f t="shared" ca="1" si="15"/>
        <v>43652</v>
      </c>
      <c r="BI177" s="269">
        <v>215.86769090376799</v>
      </c>
      <c r="BJ177" s="385">
        <f t="shared" ca="1" si="21"/>
        <v>43652</v>
      </c>
      <c r="BK177" s="269">
        <v>378.93085032641886</v>
      </c>
      <c r="BL177" s="269">
        <f t="shared" ca="1" si="17"/>
        <v>0</v>
      </c>
      <c r="BM177" s="269">
        <f t="shared" ca="1" si="18"/>
        <v>0</v>
      </c>
      <c r="BN177" s="269">
        <f t="shared" ca="1" si="19"/>
        <v>0</v>
      </c>
      <c r="BO177" s="269">
        <f t="shared" ca="1" si="20"/>
        <v>1000</v>
      </c>
    </row>
    <row r="178" spans="33:67">
      <c r="AG178" s="450"/>
      <c r="AO178" s="385"/>
      <c r="BG178" s="332">
        <f t="shared" ca="1" si="16"/>
        <v>317.39999999999998</v>
      </c>
      <c r="BH178" s="385">
        <f t="shared" ca="1" si="15"/>
        <v>43653</v>
      </c>
      <c r="BI178" s="269">
        <v>209.54674544220788</v>
      </c>
      <c r="BJ178" s="385">
        <f t="shared" ca="1" si="21"/>
        <v>43653</v>
      </c>
      <c r="BK178" s="269">
        <v>372.6291836461611</v>
      </c>
      <c r="BL178" s="269">
        <f t="shared" ca="1" si="17"/>
        <v>0</v>
      </c>
      <c r="BM178" s="269">
        <f t="shared" ca="1" si="18"/>
        <v>0</v>
      </c>
      <c r="BN178" s="269">
        <f t="shared" ca="1" si="19"/>
        <v>0</v>
      </c>
      <c r="BO178" s="269">
        <f t="shared" ca="1" si="20"/>
        <v>1000</v>
      </c>
    </row>
    <row r="179" spans="33:67">
      <c r="AG179" s="450"/>
      <c r="AO179" s="385"/>
      <c r="BG179" s="332">
        <f t="shared" ca="1" si="16"/>
        <v>317.39999999999998</v>
      </c>
      <c r="BH179" s="385">
        <f t="shared" ca="1" si="15"/>
        <v>43654</v>
      </c>
      <c r="BI179" s="269">
        <v>203.17534544609489</v>
      </c>
      <c r="BJ179" s="385">
        <f t="shared" ca="1" si="21"/>
        <v>43654</v>
      </c>
      <c r="BK179" s="269">
        <v>368.05525170022628</v>
      </c>
      <c r="BL179" s="269">
        <f t="shared" ca="1" si="17"/>
        <v>0</v>
      </c>
      <c r="BM179" s="269">
        <f t="shared" ca="1" si="18"/>
        <v>0</v>
      </c>
      <c r="BN179" s="269">
        <f t="shared" ca="1" si="19"/>
        <v>0</v>
      </c>
      <c r="BO179" s="269">
        <f t="shared" ca="1" si="20"/>
        <v>1000</v>
      </c>
    </row>
    <row r="180" spans="33:67">
      <c r="AG180" s="450"/>
      <c r="AO180" s="385"/>
      <c r="BG180" s="332">
        <f t="shared" ref="BG180:BG206" ca="1" si="22">IF(BH180&lt;$AO$96+$AO$97,NA(),$P$51)</f>
        <v>317.39999999999998</v>
      </c>
      <c r="BH180" s="385">
        <f t="shared" ca="1" si="15"/>
        <v>43655</v>
      </c>
      <c r="BI180" s="269">
        <v>198.01458181917667</v>
      </c>
      <c r="BJ180" s="385">
        <f t="shared" ca="1" si="21"/>
        <v>43655</v>
      </c>
      <c r="BK180" s="269">
        <v>364.41221768623222</v>
      </c>
      <c r="BL180" s="269">
        <f t="shared" ca="1" si="17"/>
        <v>0</v>
      </c>
      <c r="BM180" s="269">
        <f t="shared" ca="1" si="18"/>
        <v>0</v>
      </c>
      <c r="BN180" s="269">
        <f t="shared" ca="1" si="19"/>
        <v>0</v>
      </c>
      <c r="BO180" s="269">
        <f t="shared" ca="1" si="20"/>
        <v>1000</v>
      </c>
    </row>
    <row r="181" spans="33:67">
      <c r="AG181" s="450"/>
      <c r="AO181" s="385"/>
      <c r="BG181" s="332">
        <f t="shared" ca="1" si="22"/>
        <v>317.39999999999998</v>
      </c>
      <c r="BH181" s="385">
        <f t="shared" ca="1" si="15"/>
        <v>43656</v>
      </c>
      <c r="BI181" s="269">
        <v>198.53936363728715</v>
      </c>
      <c r="BJ181" s="385">
        <f t="shared" ca="1" si="21"/>
        <v>43656</v>
      </c>
      <c r="BK181" s="269">
        <v>360.76500000000004</v>
      </c>
      <c r="BL181" s="269">
        <f t="shared" ref="BL181:BL206" ca="1" si="23">IF(AND(BH181&gt;=$AO$96,BH181&lt;=$AO$96+$AO$97),1000,0)</f>
        <v>0</v>
      </c>
      <c r="BM181" s="269">
        <f t="shared" ref="BM181:BM206" ca="1" si="24">IF(BH181=$AO$98,1000,0)</f>
        <v>0</v>
      </c>
      <c r="BN181" s="269">
        <f t="shared" ref="BN181:BN206" ca="1" si="25">IF(BH181=$AP$98,1000,0)</f>
        <v>0</v>
      </c>
      <c r="BO181" s="269">
        <f t="shared" ref="BO181:BO206" ca="1" si="26">IF(AND(BH181&gt;=$AP$96,BH181&lt;=$AP$96+$AP$97),1000,0)</f>
        <v>1000</v>
      </c>
    </row>
    <row r="182" spans="33:67">
      <c r="AG182" s="459"/>
      <c r="AO182" s="385"/>
      <c r="BG182" s="332">
        <f t="shared" ca="1" si="22"/>
        <v>317.39999999999998</v>
      </c>
      <c r="BH182" s="385">
        <f t="shared" ca="1" si="15"/>
        <v>43657</v>
      </c>
      <c r="BI182" s="269">
        <v>199.06823636511339</v>
      </c>
      <c r="BJ182" s="385">
        <f t="shared" ca="1" si="21"/>
        <v>43657</v>
      </c>
      <c r="BK182" s="269">
        <v>357.11359863923866</v>
      </c>
      <c r="BL182" s="269">
        <f t="shared" ca="1" si="23"/>
        <v>0</v>
      </c>
      <c r="BM182" s="269">
        <f t="shared" ca="1" si="24"/>
        <v>0</v>
      </c>
      <c r="BN182" s="269">
        <f t="shared" ca="1" si="25"/>
        <v>0</v>
      </c>
      <c r="BO182" s="269">
        <f t="shared" ca="1" si="26"/>
        <v>1000</v>
      </c>
    </row>
    <row r="183" spans="33:67">
      <c r="AG183" s="19"/>
      <c r="AO183" s="385"/>
      <c r="BG183" s="332">
        <f t="shared" ca="1" si="22"/>
        <v>317.39999999999998</v>
      </c>
      <c r="BH183" s="385">
        <f t="shared" ref="BH183:BH206" ca="1" si="27">BH182+1</f>
        <v>43658</v>
      </c>
      <c r="BI183" s="269">
        <v>199.6012000006437</v>
      </c>
      <c r="BJ183" s="385">
        <f t="shared" ca="1" si="21"/>
        <v>43658</v>
      </c>
      <c r="BK183" s="269">
        <v>353.45801360547534</v>
      </c>
      <c r="BL183" s="269">
        <f t="shared" ca="1" si="23"/>
        <v>0</v>
      </c>
      <c r="BM183" s="269">
        <f t="shared" ca="1" si="24"/>
        <v>0</v>
      </c>
      <c r="BN183" s="269">
        <f t="shared" ca="1" si="25"/>
        <v>0</v>
      </c>
      <c r="BO183" s="269">
        <f t="shared" ca="1" si="26"/>
        <v>1000</v>
      </c>
    </row>
    <row r="184" spans="33:67">
      <c r="AO184" s="385"/>
      <c r="BG184" s="332">
        <f t="shared" ca="1" si="22"/>
        <v>317.39999999999998</v>
      </c>
      <c r="BH184" s="385">
        <f t="shared" ca="1" si="27"/>
        <v>43659</v>
      </c>
      <c r="BI184" s="269">
        <v>200.13825454689561</v>
      </c>
      <c r="BJ184" s="385">
        <f t="shared" ca="1" si="21"/>
        <v>43659</v>
      </c>
      <c r="BK184" s="269">
        <v>349.79824489794674</v>
      </c>
      <c r="BL184" s="269">
        <f t="shared" ca="1" si="23"/>
        <v>0</v>
      </c>
      <c r="BM184" s="269">
        <f t="shared" ca="1" si="24"/>
        <v>0</v>
      </c>
      <c r="BN184" s="269">
        <f t="shared" ca="1" si="25"/>
        <v>0</v>
      </c>
      <c r="BO184" s="269">
        <f t="shared" ca="1" si="26"/>
        <v>1000</v>
      </c>
    </row>
    <row r="185" spans="33:67">
      <c r="AO185" s="385"/>
      <c r="BG185" s="332">
        <f t="shared" ca="1" si="22"/>
        <v>317.39999999999998</v>
      </c>
      <c r="BH185" s="385">
        <f t="shared" ca="1" si="27"/>
        <v>43660</v>
      </c>
      <c r="BI185" s="269">
        <v>200.67940000085159</v>
      </c>
      <c r="BJ185" s="385">
        <f t="shared" ca="1" si="21"/>
        <v>43660</v>
      </c>
      <c r="BK185" s="269">
        <v>346.13429251741621</v>
      </c>
      <c r="BL185" s="269">
        <f t="shared" ca="1" si="23"/>
        <v>0</v>
      </c>
      <c r="BM185" s="269">
        <f t="shared" ca="1" si="24"/>
        <v>0</v>
      </c>
      <c r="BN185" s="269">
        <f t="shared" ca="1" si="25"/>
        <v>0</v>
      </c>
      <c r="BO185" s="269">
        <f t="shared" ca="1" si="26"/>
        <v>1000</v>
      </c>
    </row>
    <row r="186" spans="33:67">
      <c r="AO186" s="385"/>
      <c r="BG186" s="332">
        <f t="shared" ca="1" si="22"/>
        <v>317.39999999999998</v>
      </c>
      <c r="BH186" s="385">
        <f t="shared" ca="1" si="27"/>
        <v>43661</v>
      </c>
      <c r="BI186" s="269">
        <v>201.22463636502621</v>
      </c>
      <c r="BJ186" s="385">
        <f t="shared" ca="1" si="21"/>
        <v>43661</v>
      </c>
      <c r="BK186" s="269">
        <v>342.46615646159273</v>
      </c>
      <c r="BL186" s="269">
        <f t="shared" ca="1" si="23"/>
        <v>0</v>
      </c>
      <c r="BM186" s="269">
        <f t="shared" ca="1" si="24"/>
        <v>0</v>
      </c>
      <c r="BN186" s="269">
        <f t="shared" ca="1" si="25"/>
        <v>0</v>
      </c>
      <c r="BO186" s="269">
        <f t="shared" ca="1" si="26"/>
        <v>1000</v>
      </c>
    </row>
    <row r="187" spans="33:67">
      <c r="AO187" s="19"/>
      <c r="BG187" s="332">
        <f t="shared" ca="1" si="22"/>
        <v>317.39999999999998</v>
      </c>
      <c r="BH187" s="385">
        <f t="shared" ca="1" si="27"/>
        <v>43662</v>
      </c>
      <c r="BI187" s="269">
        <v>201.77396363740786</v>
      </c>
      <c r="BJ187" s="385">
        <f ca="1">BH187</f>
        <v>43662</v>
      </c>
      <c r="BK187" s="269">
        <v>311.34530609423297</v>
      </c>
      <c r="BL187" s="269">
        <f t="shared" ca="1" si="23"/>
        <v>0</v>
      </c>
      <c r="BM187" s="269">
        <f t="shared" ca="1" si="24"/>
        <v>0</v>
      </c>
      <c r="BN187" s="269">
        <f t="shared" ca="1" si="25"/>
        <v>0</v>
      </c>
      <c r="BO187" s="269">
        <f t="shared" ca="1" si="26"/>
        <v>0</v>
      </c>
    </row>
    <row r="188" spans="33:67">
      <c r="BG188" s="332">
        <f t="shared" ca="1" si="22"/>
        <v>317.39999999999998</v>
      </c>
      <c r="BH188" s="385">
        <f t="shared" ca="1" si="27"/>
        <v>43663</v>
      </c>
      <c r="BI188" s="269">
        <v>202.32738181900231</v>
      </c>
      <c r="BJ188" s="385">
        <f t="shared" ref="BJ188:BJ206" ca="1" si="28">BH188</f>
        <v>43663</v>
      </c>
      <c r="BK188" s="269">
        <v>304.02833331232893</v>
      </c>
      <c r="BL188" s="269">
        <f t="shared" ca="1" si="23"/>
        <v>0</v>
      </c>
      <c r="BM188" s="269">
        <f t="shared" ca="1" si="24"/>
        <v>0</v>
      </c>
      <c r="BN188" s="269">
        <f t="shared" ca="1" si="25"/>
        <v>0</v>
      </c>
      <c r="BO188" s="269">
        <f t="shared" ca="1" si="26"/>
        <v>0</v>
      </c>
    </row>
    <row r="189" spans="33:67">
      <c r="BG189" s="332">
        <f t="shared" ca="1" si="22"/>
        <v>317.39999999999998</v>
      </c>
      <c r="BH189" s="385">
        <f t="shared" ca="1" si="27"/>
        <v>43664</v>
      </c>
      <c r="BI189" s="269">
        <v>202.88489091031252</v>
      </c>
      <c r="BJ189" s="385">
        <f t="shared" ca="1" si="28"/>
        <v>43664</v>
      </c>
      <c r="BK189" s="269">
        <v>296.6098299109936</v>
      </c>
      <c r="BL189" s="269">
        <f t="shared" ca="1" si="23"/>
        <v>0</v>
      </c>
      <c r="BM189" s="269">
        <f t="shared" ca="1" si="24"/>
        <v>0</v>
      </c>
      <c r="BN189" s="269">
        <f t="shared" ca="1" si="25"/>
        <v>0</v>
      </c>
      <c r="BO189" s="269">
        <f t="shared" ca="1" si="26"/>
        <v>0</v>
      </c>
    </row>
    <row r="190" spans="33:67">
      <c r="BG190" s="332">
        <f t="shared" ca="1" si="22"/>
        <v>317.39999999999998</v>
      </c>
      <c r="BH190" s="385">
        <f t="shared" ca="1" si="27"/>
        <v>43665</v>
      </c>
      <c r="BI190" s="269">
        <v>203.44649090982972</v>
      </c>
      <c r="BJ190" s="385">
        <f t="shared" ca="1" si="28"/>
        <v>43665</v>
      </c>
      <c r="BK190" s="269">
        <v>290.62677550980823</v>
      </c>
      <c r="BL190" s="269">
        <f t="shared" ca="1" si="23"/>
        <v>0</v>
      </c>
      <c r="BM190" s="269">
        <f t="shared" ca="1" si="24"/>
        <v>0</v>
      </c>
      <c r="BN190" s="269">
        <f t="shared" ca="1" si="25"/>
        <v>0</v>
      </c>
      <c r="BO190" s="269">
        <f t="shared" ca="1" si="26"/>
        <v>0</v>
      </c>
    </row>
    <row r="191" spans="33:67">
      <c r="BG191" s="332">
        <f t="shared" ca="1" si="22"/>
        <v>317.39999999999998</v>
      </c>
      <c r="BH191" s="385">
        <f t="shared" ca="1" si="27"/>
        <v>43666</v>
      </c>
      <c r="BI191" s="269">
        <v>204.01218181956557</v>
      </c>
      <c r="BJ191" s="385">
        <f t="shared" ca="1" si="28"/>
        <v>43666</v>
      </c>
      <c r="BK191" s="269">
        <v>290.31272108821202</v>
      </c>
      <c r="BL191" s="269">
        <f t="shared" ca="1" si="23"/>
        <v>0</v>
      </c>
      <c r="BM191" s="269">
        <f t="shared" ca="1" si="24"/>
        <v>0</v>
      </c>
      <c r="BN191" s="269">
        <f t="shared" ca="1" si="25"/>
        <v>0</v>
      </c>
      <c r="BO191" s="269">
        <f t="shared" ca="1" si="26"/>
        <v>0</v>
      </c>
    </row>
    <row r="192" spans="33:67">
      <c r="BG192" s="332">
        <f t="shared" ca="1" si="22"/>
        <v>317.39999999999998</v>
      </c>
      <c r="BH192" s="385">
        <f t="shared" ca="1" si="27"/>
        <v>43667</v>
      </c>
      <c r="BI192" s="269">
        <v>204.58196363700552</v>
      </c>
      <c r="BJ192" s="385">
        <f t="shared" ca="1" si="28"/>
        <v>43667</v>
      </c>
      <c r="BK192" s="269">
        <v>289.99448299285029</v>
      </c>
      <c r="BL192" s="269">
        <f t="shared" ca="1" si="23"/>
        <v>0</v>
      </c>
      <c r="BM192" s="269">
        <f t="shared" ca="1" si="24"/>
        <v>0</v>
      </c>
      <c r="BN192" s="269">
        <f t="shared" ca="1" si="25"/>
        <v>0</v>
      </c>
      <c r="BO192" s="269">
        <f t="shared" ca="1" si="26"/>
        <v>0</v>
      </c>
    </row>
    <row r="193" spans="59:67">
      <c r="BG193" s="332">
        <f t="shared" ca="1" si="22"/>
        <v>317.39999999999998</v>
      </c>
      <c r="BH193" s="385">
        <f t="shared" ca="1" si="27"/>
        <v>43668</v>
      </c>
      <c r="BI193" s="269">
        <v>205.15583636516703</v>
      </c>
      <c r="BJ193" s="385">
        <f t="shared" ca="1" si="28"/>
        <v>43668</v>
      </c>
      <c r="BK193" s="269">
        <v>289.6720612244867</v>
      </c>
      <c r="BL193" s="269">
        <f t="shared" ca="1" si="23"/>
        <v>0</v>
      </c>
      <c r="BM193" s="269">
        <f t="shared" ca="1" si="24"/>
        <v>0</v>
      </c>
      <c r="BN193" s="269">
        <f t="shared" ca="1" si="25"/>
        <v>0</v>
      </c>
      <c r="BO193" s="269">
        <f t="shared" ca="1" si="26"/>
        <v>0</v>
      </c>
    </row>
    <row r="194" spans="59:67">
      <c r="BG194" s="332">
        <f t="shared" ca="1" si="22"/>
        <v>317.39999999999998</v>
      </c>
      <c r="BH194" s="385">
        <f t="shared" ca="1" si="27"/>
        <v>43669</v>
      </c>
      <c r="BI194" s="269">
        <v>205.73380000103265</v>
      </c>
      <c r="BJ194" s="385">
        <f t="shared" ca="1" si="28"/>
        <v>43669</v>
      </c>
      <c r="BK194" s="269">
        <v>289.34545578235759</v>
      </c>
      <c r="BL194" s="269">
        <f t="shared" ca="1" si="23"/>
        <v>0</v>
      </c>
      <c r="BM194" s="269">
        <f t="shared" ca="1" si="24"/>
        <v>0</v>
      </c>
      <c r="BN194" s="269">
        <f t="shared" ca="1" si="25"/>
        <v>0</v>
      </c>
      <c r="BO194" s="269">
        <f t="shared" ca="1" si="26"/>
        <v>0</v>
      </c>
    </row>
    <row r="195" spans="59:67">
      <c r="BG195" s="332">
        <f t="shared" ca="1" si="22"/>
        <v>317.39999999999998</v>
      </c>
      <c r="BH195" s="385">
        <f t="shared" ca="1" si="27"/>
        <v>43670</v>
      </c>
      <c r="BI195" s="269">
        <v>206.31585454711688</v>
      </c>
      <c r="BJ195" s="385">
        <f t="shared" ca="1" si="28"/>
        <v>43670</v>
      </c>
      <c r="BK195" s="269">
        <v>289.01466666646303</v>
      </c>
      <c r="BL195" s="269">
        <f t="shared" ca="1" si="23"/>
        <v>0</v>
      </c>
      <c r="BM195" s="269">
        <f t="shared" ca="1" si="24"/>
        <v>0</v>
      </c>
      <c r="BN195" s="269">
        <f t="shared" ca="1" si="25"/>
        <v>0</v>
      </c>
      <c r="BO195" s="269">
        <f t="shared" ca="1" si="26"/>
        <v>0</v>
      </c>
    </row>
    <row r="196" spans="59:67">
      <c r="BG196" s="332">
        <f t="shared" ca="1" si="22"/>
        <v>317.39999999999998</v>
      </c>
      <c r="BH196" s="385">
        <f t="shared" ca="1" si="27"/>
        <v>43671</v>
      </c>
      <c r="BI196" s="269">
        <v>206.90200000090522</v>
      </c>
      <c r="BJ196" s="385">
        <f t="shared" ca="1" si="28"/>
        <v>43671</v>
      </c>
      <c r="BK196" s="269">
        <v>288.67969387756659</v>
      </c>
      <c r="BL196" s="269">
        <f t="shared" ca="1" si="23"/>
        <v>0</v>
      </c>
      <c r="BM196" s="269">
        <f t="shared" ca="1" si="24"/>
        <v>0</v>
      </c>
      <c r="BN196" s="269">
        <f t="shared" ca="1" si="25"/>
        <v>0</v>
      </c>
      <c r="BO196" s="269">
        <f t="shared" ca="1" si="26"/>
        <v>0</v>
      </c>
    </row>
    <row r="197" spans="59:67">
      <c r="BG197" s="332">
        <f t="shared" ca="1" si="22"/>
        <v>317.39999999999998</v>
      </c>
      <c r="BH197" s="385">
        <f t="shared" ca="1" si="27"/>
        <v>43672</v>
      </c>
      <c r="BI197" s="269">
        <v>207.49223636440931</v>
      </c>
      <c r="BJ197" s="385">
        <f t="shared" ca="1" si="28"/>
        <v>43672</v>
      </c>
      <c r="BK197" s="269">
        <v>288.34053741490465</v>
      </c>
      <c r="BL197" s="269">
        <f t="shared" ca="1" si="23"/>
        <v>0</v>
      </c>
      <c r="BM197" s="269">
        <f t="shared" ca="1" si="24"/>
        <v>0</v>
      </c>
      <c r="BN197" s="269">
        <f t="shared" ca="1" si="25"/>
        <v>0</v>
      </c>
      <c r="BO197" s="269">
        <f t="shared" ca="1" si="26"/>
        <v>0</v>
      </c>
    </row>
    <row r="198" spans="59:67">
      <c r="BG198" s="332">
        <f t="shared" ca="1" si="22"/>
        <v>317.39999999999998</v>
      </c>
      <c r="BH198" s="385">
        <f t="shared" ca="1" si="27"/>
        <v>43673</v>
      </c>
      <c r="BI198" s="269">
        <v>208.08656363762913</v>
      </c>
      <c r="BJ198" s="385">
        <f t="shared" ca="1" si="28"/>
        <v>43673</v>
      </c>
      <c r="BK198" s="269">
        <v>287.99719727771355</v>
      </c>
      <c r="BL198" s="269">
        <f t="shared" ca="1" si="23"/>
        <v>0</v>
      </c>
      <c r="BM198" s="269">
        <f t="shared" ca="1" si="24"/>
        <v>0</v>
      </c>
      <c r="BN198" s="269">
        <f t="shared" ca="1" si="25"/>
        <v>0</v>
      </c>
      <c r="BO198" s="269">
        <f t="shared" ca="1" si="26"/>
        <v>0</v>
      </c>
    </row>
    <row r="199" spans="59:67">
      <c r="BG199" s="332">
        <f t="shared" ca="1" si="22"/>
        <v>317.39999999999998</v>
      </c>
      <c r="BH199" s="385">
        <f t="shared" ca="1" si="27"/>
        <v>43674</v>
      </c>
      <c r="BI199" s="269">
        <v>208.68498181905596</v>
      </c>
      <c r="BJ199" s="385">
        <f t="shared" ca="1" si="28"/>
        <v>43674</v>
      </c>
      <c r="BK199" s="269">
        <v>287.64967346828428</v>
      </c>
      <c r="BL199" s="269">
        <f t="shared" ca="1" si="23"/>
        <v>0</v>
      </c>
      <c r="BM199" s="269">
        <f t="shared" ca="1" si="24"/>
        <v>0</v>
      </c>
      <c r="BN199" s="269">
        <f t="shared" ca="1" si="25"/>
        <v>0</v>
      </c>
      <c r="BO199" s="269">
        <f t="shared" ca="1" si="26"/>
        <v>0</v>
      </c>
    </row>
    <row r="200" spans="59:67">
      <c r="BG200" s="332">
        <f t="shared" ca="1" si="22"/>
        <v>317.39999999999998</v>
      </c>
      <c r="BH200" s="385">
        <f t="shared" ca="1" si="27"/>
        <v>43675</v>
      </c>
      <c r="BI200" s="269">
        <v>209.28749091019853</v>
      </c>
      <c r="BJ200" s="385">
        <f t="shared" ca="1" si="28"/>
        <v>43675</v>
      </c>
      <c r="BK200" s="269">
        <v>287.29796598508955</v>
      </c>
      <c r="BL200" s="269">
        <f t="shared" ca="1" si="23"/>
        <v>0</v>
      </c>
      <c r="BM200" s="269">
        <f t="shared" ca="1" si="24"/>
        <v>0</v>
      </c>
      <c r="BN200" s="269">
        <f t="shared" ca="1" si="25"/>
        <v>0</v>
      </c>
      <c r="BO200" s="269">
        <f t="shared" ca="1" si="26"/>
        <v>0</v>
      </c>
    </row>
    <row r="201" spans="59:67">
      <c r="BG201" s="332">
        <f t="shared" ca="1" si="22"/>
        <v>317.39999999999998</v>
      </c>
      <c r="BH201" s="385">
        <f t="shared" ca="1" si="27"/>
        <v>43676</v>
      </c>
      <c r="BI201" s="269">
        <v>209.89409091005098</v>
      </c>
      <c r="BJ201" s="385">
        <f t="shared" ca="1" si="28"/>
        <v>43676</v>
      </c>
      <c r="BK201" s="269">
        <v>286.94207482889288</v>
      </c>
      <c r="BL201" s="269">
        <f t="shared" ca="1" si="23"/>
        <v>0</v>
      </c>
      <c r="BM201" s="269">
        <f t="shared" ca="1" si="24"/>
        <v>0</v>
      </c>
      <c r="BN201" s="269">
        <f t="shared" ca="1" si="25"/>
        <v>0</v>
      </c>
      <c r="BO201" s="269">
        <f t="shared" ca="1" si="26"/>
        <v>0</v>
      </c>
    </row>
    <row r="202" spans="59:67">
      <c r="BG202" s="332">
        <f t="shared" ca="1" si="22"/>
        <v>317.39999999999998</v>
      </c>
      <c r="BH202" s="385">
        <f t="shared" ca="1" si="27"/>
        <v>43677</v>
      </c>
      <c r="BI202" s="269">
        <v>210.50478181961921</v>
      </c>
      <c r="BJ202" s="385">
        <f t="shared" ca="1" si="28"/>
        <v>43677</v>
      </c>
      <c r="BK202" s="269">
        <v>286.58199999969446</v>
      </c>
      <c r="BL202" s="269">
        <f t="shared" ca="1" si="23"/>
        <v>0</v>
      </c>
      <c r="BM202" s="269">
        <f t="shared" ca="1" si="24"/>
        <v>0</v>
      </c>
      <c r="BN202" s="269">
        <f t="shared" ca="1" si="25"/>
        <v>0</v>
      </c>
      <c r="BO202" s="269">
        <f t="shared" ca="1" si="26"/>
        <v>0</v>
      </c>
    </row>
    <row r="203" spans="59:67">
      <c r="BG203" s="332">
        <f t="shared" ca="1" si="22"/>
        <v>317.39999999999998</v>
      </c>
      <c r="BH203" s="385">
        <f t="shared" ca="1" si="27"/>
        <v>43678</v>
      </c>
      <c r="BI203" s="269">
        <v>211.11956363739444</v>
      </c>
      <c r="BJ203" s="385">
        <f t="shared" ca="1" si="28"/>
        <v>43678</v>
      </c>
      <c r="BK203" s="269">
        <v>286.21774149596683</v>
      </c>
      <c r="BL203" s="269">
        <f t="shared" ca="1" si="23"/>
        <v>0</v>
      </c>
      <c r="BM203" s="269">
        <f t="shared" ca="1" si="24"/>
        <v>0</v>
      </c>
      <c r="BN203" s="269">
        <f t="shared" ca="1" si="25"/>
        <v>0</v>
      </c>
      <c r="BO203" s="269">
        <f t="shared" ca="1" si="26"/>
        <v>0</v>
      </c>
    </row>
    <row r="204" spans="59:67">
      <c r="BG204" s="332">
        <f t="shared" ca="1" si="22"/>
        <v>317.39999999999998</v>
      </c>
      <c r="BH204" s="385">
        <f t="shared" ca="1" si="27"/>
        <v>43679</v>
      </c>
      <c r="BI204" s="269">
        <v>211.73843636488539</v>
      </c>
      <c r="BJ204" s="385">
        <f t="shared" ca="1" si="28"/>
        <v>43679</v>
      </c>
      <c r="BK204" s="269">
        <v>285.84929931923745</v>
      </c>
      <c r="BL204" s="269">
        <f t="shared" ca="1" si="23"/>
        <v>0</v>
      </c>
      <c r="BM204" s="269">
        <f t="shared" ca="1" si="24"/>
        <v>0</v>
      </c>
      <c r="BN204" s="269">
        <f t="shared" ca="1" si="25"/>
        <v>0</v>
      </c>
      <c r="BO204" s="269">
        <f t="shared" ca="1" si="26"/>
        <v>0</v>
      </c>
    </row>
    <row r="205" spans="59:67">
      <c r="BG205" s="332">
        <f t="shared" ca="1" si="22"/>
        <v>317.39999999999998</v>
      </c>
      <c r="BH205" s="385">
        <f t="shared" ca="1" si="27"/>
        <v>43680</v>
      </c>
      <c r="BI205" s="269">
        <v>212.36140000108628</v>
      </c>
      <c r="BJ205" s="385">
        <f t="shared" ca="1" si="28"/>
        <v>43680</v>
      </c>
      <c r="BK205" s="269">
        <v>285.47667346874249</v>
      </c>
      <c r="BL205" s="269">
        <f t="shared" ca="1" si="23"/>
        <v>0</v>
      </c>
      <c r="BM205" s="269">
        <f t="shared" ca="1" si="24"/>
        <v>0</v>
      </c>
      <c r="BN205" s="269">
        <f t="shared" ca="1" si="25"/>
        <v>0</v>
      </c>
      <c r="BO205" s="269">
        <f t="shared" ca="1" si="26"/>
        <v>0</v>
      </c>
    </row>
    <row r="206" spans="59:67">
      <c r="BG206" s="332">
        <f t="shared" ca="1" si="22"/>
        <v>317.39999999999998</v>
      </c>
      <c r="BH206" s="385">
        <f t="shared" ca="1" si="27"/>
        <v>43681</v>
      </c>
      <c r="BI206" s="269">
        <v>212.98845454599706</v>
      </c>
      <c r="BJ206" s="385">
        <f t="shared" ca="1" si="28"/>
        <v>43681</v>
      </c>
      <c r="BK206" s="269">
        <v>285.09986394524572</v>
      </c>
      <c r="BL206" s="269">
        <f t="shared" ca="1" si="23"/>
        <v>0</v>
      </c>
      <c r="BM206" s="269">
        <f t="shared" ca="1" si="24"/>
        <v>0</v>
      </c>
      <c r="BN206" s="269">
        <f t="shared" ca="1" si="25"/>
        <v>0</v>
      </c>
      <c r="BO206" s="269">
        <f t="shared" ca="1" si="26"/>
        <v>0</v>
      </c>
    </row>
  </sheetData>
  <sheetProtection sheet="1" objects="1" scenarios="1" selectLockedCells="1"/>
  <scenarios current="0" show="0">
    <scenario name="Corn Already Planted" count="1" user="William Edwards" comment="Created by William Edwards on 4/14/2005">
      <inputCells r="F15" val="38467" numFmtId="16"/>
    </scenario>
  </scenarios>
  <mergeCells count="36">
    <mergeCell ref="C38:H38"/>
    <mergeCell ref="C72:F72"/>
    <mergeCell ref="AO87:AP87"/>
    <mergeCell ref="T19:T21"/>
    <mergeCell ref="V19:V21"/>
    <mergeCell ref="X19:X21"/>
    <mergeCell ref="Z19:Z21"/>
    <mergeCell ref="AB19:AB21"/>
    <mergeCell ref="C30:D30"/>
    <mergeCell ref="E19:F19"/>
    <mergeCell ref="J19:J21"/>
    <mergeCell ref="L19:L21"/>
    <mergeCell ref="N19:N21"/>
    <mergeCell ref="P19:P21"/>
    <mergeCell ref="R19:R21"/>
    <mergeCell ref="V10:V11"/>
    <mergeCell ref="X10:X11"/>
    <mergeCell ref="Z10:Z11"/>
    <mergeCell ref="AB10:AB11"/>
    <mergeCell ref="P14:P16"/>
    <mergeCell ref="Z14:Z16"/>
    <mergeCell ref="T10:T11"/>
    <mergeCell ref="J10:J11"/>
    <mergeCell ref="L10:L11"/>
    <mergeCell ref="N10:N11"/>
    <mergeCell ref="P10:P11"/>
    <mergeCell ref="R10:R11"/>
    <mergeCell ref="J9:N9"/>
    <mergeCell ref="P9:T9"/>
    <mergeCell ref="V9:X9"/>
    <mergeCell ref="Z9:AB9"/>
    <mergeCell ref="D6:F6"/>
    <mergeCell ref="J8:N8"/>
    <mergeCell ref="P8:T8"/>
    <mergeCell ref="V8:X8"/>
    <mergeCell ref="Z8:AB8"/>
  </mergeCells>
  <conditionalFormatting sqref="J27:K27">
    <cfRule type="cellIs" dxfId="100" priority="40" operator="equal">
      <formula>0</formula>
    </cfRule>
  </conditionalFormatting>
  <conditionalFormatting sqref="L27:N27">
    <cfRule type="cellIs" dxfId="99" priority="39" operator="equal">
      <formula>0</formula>
    </cfRule>
  </conditionalFormatting>
  <conditionalFormatting sqref="W27">
    <cfRule type="cellIs" dxfId="98" priority="38" operator="equal">
      <formula>0</formula>
    </cfRule>
  </conditionalFormatting>
  <conditionalFormatting sqref="J28:J29 L28:L29 R28:R29">
    <cfRule type="expression" dxfId="97" priority="37">
      <formula>OR($AU$80=2,$AU$80&gt;3)</formula>
    </cfRule>
  </conditionalFormatting>
  <conditionalFormatting sqref="J27 L27 R27">
    <cfRule type="expression" dxfId="96" priority="36">
      <formula>$AU$80&lt;4</formula>
    </cfRule>
  </conditionalFormatting>
  <conditionalFormatting sqref="N28:N29 W28:W29">
    <cfRule type="expression" dxfId="95" priority="35">
      <formula>OR($AV$80=2,$AV$80&gt;3)</formula>
    </cfRule>
  </conditionalFormatting>
  <conditionalFormatting sqref="N27 W27">
    <cfRule type="expression" dxfId="94" priority="34">
      <formula>$AV$80&lt;4</formula>
    </cfRule>
  </conditionalFormatting>
  <conditionalFormatting sqref="P27:Q27">
    <cfRule type="cellIs" dxfId="93" priority="33" operator="equal">
      <formula>0</formula>
    </cfRule>
  </conditionalFormatting>
  <conditionalFormatting sqref="R27:T27">
    <cfRule type="cellIs" dxfId="92" priority="32" operator="equal">
      <formula>0</formula>
    </cfRule>
  </conditionalFormatting>
  <conditionalFormatting sqref="P28:P29">
    <cfRule type="expression" dxfId="91" priority="31">
      <formula>OR($AU$80=2,$AU$80&gt;3)</formula>
    </cfRule>
  </conditionalFormatting>
  <conditionalFormatting sqref="P27">
    <cfRule type="expression" dxfId="90" priority="30">
      <formula>$AU$80&lt;4</formula>
    </cfRule>
  </conditionalFormatting>
  <conditionalFormatting sqref="T28:T29">
    <cfRule type="expression" dxfId="89" priority="29">
      <formula>OR($AV$80=2,$AV$80&gt;3)</formula>
    </cfRule>
  </conditionalFormatting>
  <conditionalFormatting sqref="T27">
    <cfRule type="expression" dxfId="88" priority="28">
      <formula>$AV$80&lt;4</formula>
    </cfRule>
  </conditionalFormatting>
  <conditionalFormatting sqref="V27">
    <cfRule type="cellIs" dxfId="87" priority="27" operator="equal">
      <formula>0</formula>
    </cfRule>
  </conditionalFormatting>
  <conditionalFormatting sqref="V28:V29">
    <cfRule type="expression" dxfId="86" priority="26">
      <formula>OR($AU$80=2,$AU$80&gt;3)</formula>
    </cfRule>
  </conditionalFormatting>
  <conditionalFormatting sqref="V27">
    <cfRule type="expression" dxfId="85" priority="25">
      <formula>$AV$80&lt;4</formula>
    </cfRule>
  </conditionalFormatting>
  <conditionalFormatting sqref="X27">
    <cfRule type="cellIs" dxfId="84" priority="24" operator="equal">
      <formula>0</formula>
    </cfRule>
  </conditionalFormatting>
  <conditionalFormatting sqref="X28:X29">
    <cfRule type="expression" dxfId="83" priority="23">
      <formula>OR($AV$80=2,$AV$80&gt;3)</formula>
    </cfRule>
  </conditionalFormatting>
  <conditionalFormatting sqref="X27">
    <cfRule type="expression" dxfId="82" priority="22">
      <formula>$AV$80&lt;4</formula>
    </cfRule>
  </conditionalFormatting>
  <conditionalFormatting sqref="AA27">
    <cfRule type="cellIs" dxfId="81" priority="21" operator="equal">
      <formula>0</formula>
    </cfRule>
  </conditionalFormatting>
  <conditionalFormatting sqref="AA28:AA29">
    <cfRule type="expression" dxfId="80" priority="20">
      <formula>OR($AV$80=2,$AV$80&gt;3)</formula>
    </cfRule>
  </conditionalFormatting>
  <conditionalFormatting sqref="AA27">
    <cfRule type="expression" dxfId="79" priority="19">
      <formula>$AV$80&lt;4</formula>
    </cfRule>
  </conditionalFormatting>
  <conditionalFormatting sqref="Z27">
    <cfRule type="cellIs" dxfId="78" priority="18" operator="equal">
      <formula>0</formula>
    </cfRule>
  </conditionalFormatting>
  <conditionalFormatting sqref="Z28:Z29">
    <cfRule type="expression" dxfId="77" priority="17">
      <formula>OR($AU$80=2,$AU$80&gt;3)</formula>
    </cfRule>
  </conditionalFormatting>
  <conditionalFormatting sqref="Z27">
    <cfRule type="expression" dxfId="76" priority="16">
      <formula>$AV$80&lt;4</formula>
    </cfRule>
  </conditionalFormatting>
  <conditionalFormatting sqref="AB27">
    <cfRule type="cellIs" dxfId="75" priority="15" operator="equal">
      <formula>0</formula>
    </cfRule>
  </conditionalFormatting>
  <conditionalFormatting sqref="AB28:AB29">
    <cfRule type="expression" dxfId="74" priority="14">
      <formula>OR($AV$80=2,$AV$80&gt;3)</formula>
    </cfRule>
  </conditionalFormatting>
  <conditionalFormatting sqref="AB27">
    <cfRule type="expression" dxfId="73" priority="13">
      <formula>$AV$80&lt;4</formula>
    </cfRule>
  </conditionalFormatting>
  <conditionalFormatting sqref="J51 L51 N51">
    <cfRule type="iconSet" priority="12">
      <iconSet iconSet="3TrafficLights2">
        <cfvo type="percent" val="0"/>
        <cfvo type="percent" val="33"/>
        <cfvo type="percent" val="67"/>
      </iconSet>
    </cfRule>
  </conditionalFormatting>
  <conditionalFormatting sqref="P51 R51 T51">
    <cfRule type="iconSet" priority="11">
      <iconSet iconSet="3TrafficLights2">
        <cfvo type="percent" val="0"/>
        <cfvo type="percent" val="33"/>
        <cfvo type="percent" val="67"/>
      </iconSet>
    </cfRule>
  </conditionalFormatting>
  <conditionalFormatting sqref="V51 X51">
    <cfRule type="iconSet" priority="10">
      <iconSet iconSet="3TrafficLights2">
        <cfvo type="percent" val="0"/>
        <cfvo type="percent" val="33"/>
        <cfvo type="percent" val="67"/>
      </iconSet>
    </cfRule>
  </conditionalFormatting>
  <conditionalFormatting sqref="Z51 AB51">
    <cfRule type="iconSet" priority="9">
      <iconSet iconSet="3TrafficLights2">
        <cfvo type="percent" val="0"/>
        <cfvo type="percent" val="33"/>
        <cfvo type="percent" val="67"/>
      </iconSet>
    </cfRule>
  </conditionalFormatting>
  <conditionalFormatting sqref="E22:F22">
    <cfRule type="expression" dxfId="72" priority="8">
      <formula>OR($AU$80&lt;3,$AU$80&gt;3)</formula>
    </cfRule>
  </conditionalFormatting>
  <conditionalFormatting sqref="H22">
    <cfRule type="expression" dxfId="71" priority="7">
      <formula>OR($AV$80&lt;3,$AV$80&gt;3)</formula>
    </cfRule>
  </conditionalFormatting>
  <conditionalFormatting sqref="R40">
    <cfRule type="expression" dxfId="70" priority="5">
      <formula>$AU$80&lt;4</formula>
    </cfRule>
  </conditionalFormatting>
  <conditionalFormatting sqref="P40:Q40">
    <cfRule type="cellIs" dxfId="69" priority="4" operator="equal">
      <formula>0</formula>
    </cfRule>
  </conditionalFormatting>
  <conditionalFormatting sqref="R40:T40">
    <cfRule type="cellIs" dxfId="68" priority="3" operator="equal">
      <formula>0</formula>
    </cfRule>
  </conditionalFormatting>
  <conditionalFormatting sqref="P40">
    <cfRule type="expression" dxfId="67" priority="2">
      <formula>$AU$80&lt;4</formula>
    </cfRule>
  </conditionalFormatting>
  <conditionalFormatting sqref="T40">
    <cfRule type="expression" dxfId="66" priority="1">
      <formula>$AV$80&lt;4</formula>
    </cfRule>
  </conditionalFormatting>
  <dataValidations count="6">
    <dataValidation type="list" allowBlank="1" showInputMessage="1" showErrorMessage="1" sqref="F24:H24">
      <formula1>$AX$84:$AX$101</formula1>
    </dataValidation>
    <dataValidation type="list" allowBlank="1" showInputMessage="1" showErrorMessage="1" sqref="F22:H22">
      <formula1>$AU$84:$AU$124</formula1>
    </dataValidation>
    <dataValidation type="list" allowBlank="1" showInputMessage="1" showErrorMessage="1" sqref="H88">
      <formula1>$AU$71:$AU$73</formula1>
    </dataValidation>
    <dataValidation allowBlank="1" showInputMessage="1" showErrorMessage="1" prompt="The futures price is used to estimate crop revenue insurance payments." sqref="F10:H10"/>
    <dataValidation type="list" allowBlank="1" showInputMessage="1" showErrorMessage="1" sqref="F20">
      <formula1>$AX$96:$AX$98</formula1>
    </dataValidation>
    <dataValidation type="list" allowBlank="1" showInputMessage="1" showErrorMessage="1" sqref="E19:E20 H19">
      <formula1>$AN$84:$AN$88</formula1>
    </dataValidation>
  </dataValidations>
  <pageMargins left="0.45" right="0.51" top="0.53" bottom="0.5" header="0.5" footer="0.5"/>
  <pageSetup scale="68" orientation="landscape" r:id="rId1"/>
  <headerFooter alignWithMargins="0"/>
  <ignoredErrors>
    <ignoredError sqref="R21:T25 G16 T40 R15:T19"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RMAData!$A$3:$A$117</xm:f>
          </x14:formula1>
          <xm:sqref>D6:G6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BO218"/>
  <sheetViews>
    <sheetView showGridLines="0" zoomScale="85" zoomScaleNormal="85" workbookViewId="0">
      <selection activeCell="D6" sqref="D6:F6"/>
    </sheetView>
  </sheetViews>
  <sheetFormatPr defaultRowHeight="12.75"/>
  <cols>
    <col min="1" max="1" width="1.140625" style="272" customWidth="1"/>
    <col min="2" max="2" width="1.7109375" style="269" customWidth="1"/>
    <col min="3" max="3" width="40.42578125" style="269" customWidth="1"/>
    <col min="4" max="4" width="14" style="269" customWidth="1"/>
    <col min="5" max="5" width="0.85546875" style="273" hidden="1" customWidth="1"/>
    <col min="6" max="6" width="16.7109375" style="269" hidden="1" customWidth="1"/>
    <col min="7" max="7" width="0.85546875" style="273" customWidth="1"/>
    <col min="8" max="8" width="16.85546875" style="269" customWidth="1"/>
    <col min="9" max="9" width="1.7109375" style="268" customWidth="1"/>
    <col min="10" max="10" width="14.28515625" style="269" hidden="1" customWidth="1"/>
    <col min="11" max="11" width="0.85546875" style="276" hidden="1" customWidth="1"/>
    <col min="12" max="12" width="13.5703125" style="269" hidden="1" customWidth="1"/>
    <col min="13" max="13" width="0.85546875" style="268" hidden="1" customWidth="1"/>
    <col min="14" max="14" width="15.140625" style="269" hidden="1" customWidth="1"/>
    <col min="15" max="15" width="1.7109375" style="268" hidden="1" customWidth="1"/>
    <col min="16" max="16" width="14.140625" style="269" hidden="1" customWidth="1"/>
    <col min="17" max="17" width="0.85546875" style="269" hidden="1" customWidth="1"/>
    <col min="18" max="18" width="14.5703125" style="269" hidden="1" customWidth="1"/>
    <col min="19" max="19" width="0.85546875" style="269" hidden="1" customWidth="1"/>
    <col min="20" max="20" width="12.28515625" style="269" hidden="1" customWidth="1"/>
    <col min="21" max="21" width="1.7109375" style="269" hidden="1" customWidth="1"/>
    <col min="22" max="22" width="15.5703125" style="269" customWidth="1"/>
    <col min="23" max="23" width="0.85546875" style="269" customWidth="1"/>
    <col min="24" max="24" width="14.85546875" style="269" customWidth="1"/>
    <col min="25" max="25" width="1.7109375" style="269" customWidth="1"/>
    <col min="26" max="26" width="12.28515625" style="269" hidden="1" customWidth="1"/>
    <col min="27" max="27" width="0.85546875" style="269" hidden="1" customWidth="1"/>
    <col min="28" max="28" width="12.28515625" style="269" hidden="1" customWidth="1"/>
    <col min="29" max="29" width="0" style="269" hidden="1" customWidth="1"/>
    <col min="30" max="52" width="9.140625" style="269"/>
    <col min="53" max="53" width="34.42578125" style="269" bestFit="1" customWidth="1"/>
    <col min="54" max="62" width="9.140625" style="269"/>
    <col min="63" max="63" width="9.85546875" style="269" bestFit="1" customWidth="1"/>
    <col min="64" max="16384" width="9.140625" style="269"/>
  </cols>
  <sheetData>
    <row r="1" spans="1:35" s="250" customFormat="1" ht="18.75" thickBot="1">
      <c r="A1" s="249"/>
      <c r="C1" s="251" t="s">
        <v>219</v>
      </c>
      <c r="D1" s="251"/>
      <c r="E1" s="251"/>
      <c r="F1" s="251"/>
      <c r="G1" s="251"/>
      <c r="H1" s="251"/>
      <c r="I1" s="251"/>
      <c r="J1" s="251"/>
      <c r="K1" s="251"/>
      <c r="L1" s="251"/>
      <c r="M1" s="251"/>
      <c r="N1" s="251"/>
      <c r="O1" s="251"/>
      <c r="P1" s="251"/>
      <c r="Q1" s="251"/>
      <c r="R1" s="251"/>
      <c r="S1" s="251"/>
      <c r="T1" s="251"/>
      <c r="U1" s="251"/>
      <c r="V1" s="251" t="s">
        <v>221</v>
      </c>
      <c r="W1" s="251"/>
      <c r="X1" s="251"/>
    </row>
    <row r="2" spans="1:35" s="253" customFormat="1" ht="7.5" customHeight="1" thickTop="1">
      <c r="A2" s="252"/>
    </row>
    <row r="3" spans="1:35" s="264" customFormat="1" ht="15">
      <c r="A3" s="252"/>
      <c r="B3" s="254"/>
      <c r="C3" s="255" t="s">
        <v>218</v>
      </c>
      <c r="D3" s="256"/>
      <c r="E3" s="257"/>
      <c r="F3" s="258"/>
      <c r="G3" s="259"/>
      <c r="H3" s="260"/>
      <c r="I3" s="261"/>
      <c r="J3" s="260"/>
      <c r="K3" s="262"/>
      <c r="L3" s="263"/>
      <c r="M3" s="263"/>
      <c r="N3" s="263"/>
      <c r="O3" s="263"/>
      <c r="P3" s="254"/>
      <c r="Q3" s="254"/>
      <c r="R3" s="254"/>
      <c r="S3" s="254"/>
      <c r="T3" s="254"/>
    </row>
    <row r="4" spans="1:35" s="264" customFormat="1" ht="15">
      <c r="A4" s="252"/>
      <c r="B4" s="254"/>
      <c r="C4" s="488" t="s">
        <v>209</v>
      </c>
      <c r="D4" s="265"/>
      <c r="E4" s="266"/>
      <c r="F4" s="260"/>
      <c r="G4" s="266"/>
      <c r="H4" s="260"/>
      <c r="I4" s="261"/>
      <c r="J4" s="33"/>
      <c r="K4" s="33"/>
      <c r="L4" s="267"/>
      <c r="M4" s="267"/>
      <c r="N4" s="267"/>
      <c r="O4" s="268"/>
      <c r="P4" s="269"/>
      <c r="Q4" s="269"/>
      <c r="R4" s="269"/>
      <c r="S4" s="269"/>
      <c r="T4" s="269"/>
      <c r="U4" s="269"/>
      <c r="V4" s="269"/>
      <c r="W4" s="269"/>
      <c r="X4" s="269"/>
      <c r="Y4" s="269"/>
      <c r="Z4" s="269"/>
      <c r="AA4" s="269"/>
      <c r="AB4" s="269"/>
      <c r="AC4" s="269"/>
      <c r="AD4" s="270"/>
      <c r="AE4" s="270"/>
      <c r="AF4" s="270"/>
      <c r="AG4" s="270"/>
      <c r="AH4" s="270"/>
      <c r="AI4" s="269"/>
    </row>
    <row r="5" spans="1:35" s="264" customFormat="1" ht="6.75" customHeight="1">
      <c r="A5" s="252"/>
      <c r="B5" s="254"/>
      <c r="C5" s="166"/>
      <c r="D5" s="271"/>
      <c r="E5" s="266"/>
      <c r="F5" s="260"/>
      <c r="G5" s="266"/>
      <c r="H5" s="260"/>
      <c r="I5" s="261"/>
      <c r="J5" s="33"/>
      <c r="K5" s="33"/>
      <c r="L5" s="267"/>
      <c r="M5" s="267"/>
      <c r="N5" s="267"/>
      <c r="O5" s="268"/>
      <c r="P5" s="269"/>
      <c r="Q5" s="269"/>
      <c r="R5" s="269"/>
      <c r="S5" s="269"/>
      <c r="T5" s="269"/>
      <c r="U5" s="269"/>
      <c r="V5" s="269"/>
      <c r="W5" s="269"/>
      <c r="X5" s="269"/>
      <c r="Y5" s="269"/>
      <c r="Z5" s="269"/>
      <c r="AA5" s="269"/>
      <c r="AB5" s="269"/>
      <c r="AC5" s="269"/>
      <c r="AD5" s="270"/>
      <c r="AE5" s="270"/>
      <c r="AF5" s="270"/>
      <c r="AG5" s="270"/>
      <c r="AH5" s="270"/>
      <c r="AI5" s="269"/>
    </row>
    <row r="6" spans="1:35" ht="15">
      <c r="B6" s="273"/>
      <c r="C6" s="167" t="s">
        <v>189</v>
      </c>
      <c r="D6" s="535" t="s">
        <v>42</v>
      </c>
      <c r="E6" s="525"/>
      <c r="F6" s="525"/>
      <c r="G6" s="274"/>
      <c r="H6" s="17"/>
      <c r="I6" s="275"/>
      <c r="L6" s="19"/>
      <c r="M6" s="21"/>
      <c r="AD6" s="270"/>
      <c r="AE6" s="270"/>
      <c r="AF6" s="270"/>
      <c r="AG6" s="270"/>
      <c r="AH6" s="270"/>
    </row>
    <row r="7" spans="1:35" ht="6" customHeight="1" thickBot="1">
      <c r="B7" s="273"/>
      <c r="H7" s="17"/>
      <c r="I7" s="275"/>
      <c r="J7" s="264"/>
      <c r="K7" s="54"/>
      <c r="AD7" s="270"/>
      <c r="AE7" s="270"/>
      <c r="AF7" s="270"/>
      <c r="AG7" s="270"/>
      <c r="AH7" s="270"/>
    </row>
    <row r="8" spans="1:35" ht="18" thickBot="1">
      <c r="B8" s="273"/>
      <c r="C8" s="277" t="s">
        <v>184</v>
      </c>
      <c r="D8" s="278"/>
      <c r="E8" s="279"/>
      <c r="F8" s="120" t="s">
        <v>0</v>
      </c>
      <c r="G8" s="121"/>
      <c r="H8" s="122" t="s">
        <v>1</v>
      </c>
      <c r="I8" s="275"/>
      <c r="J8" s="526" t="s">
        <v>5</v>
      </c>
      <c r="K8" s="527"/>
      <c r="L8" s="527"/>
      <c r="M8" s="527"/>
      <c r="N8" s="528"/>
      <c r="O8" s="111"/>
      <c r="P8" s="526" t="s">
        <v>12</v>
      </c>
      <c r="Q8" s="527"/>
      <c r="R8" s="527"/>
      <c r="S8" s="527"/>
      <c r="T8" s="528"/>
      <c r="U8" s="25"/>
      <c r="V8" s="526" t="s">
        <v>10</v>
      </c>
      <c r="W8" s="527"/>
      <c r="X8" s="528"/>
      <c r="Y8" s="25"/>
      <c r="Z8" s="526" t="s">
        <v>11</v>
      </c>
      <c r="AA8" s="527"/>
      <c r="AB8" s="528"/>
      <c r="AC8" s="280"/>
      <c r="AD8" s="26"/>
      <c r="AE8" s="280"/>
      <c r="AF8" s="280"/>
      <c r="AG8" s="280"/>
      <c r="AH8" s="280"/>
      <c r="AI8" s="22"/>
    </row>
    <row r="9" spans="1:35" ht="15.75" thickTop="1">
      <c r="B9" s="273"/>
      <c r="C9" s="49" t="s">
        <v>191</v>
      </c>
      <c r="D9" s="205"/>
      <c r="E9" s="126"/>
      <c r="F9" s="281">
        <v>5.5</v>
      </c>
      <c r="G9" s="282"/>
      <c r="H9" s="113">
        <v>10</v>
      </c>
      <c r="I9" s="275"/>
      <c r="J9" s="529" t="s">
        <v>186</v>
      </c>
      <c r="K9" s="530"/>
      <c r="L9" s="530"/>
      <c r="M9" s="530"/>
      <c r="N9" s="531"/>
      <c r="O9" s="48"/>
      <c r="P9" s="529" t="s">
        <v>186</v>
      </c>
      <c r="Q9" s="530"/>
      <c r="R9" s="530"/>
      <c r="S9" s="530"/>
      <c r="T9" s="531"/>
      <c r="U9" s="2"/>
      <c r="V9" s="529" t="s">
        <v>186</v>
      </c>
      <c r="W9" s="530"/>
      <c r="X9" s="531"/>
      <c r="Y9" s="4"/>
      <c r="Z9" s="529" t="s">
        <v>186</v>
      </c>
      <c r="AA9" s="530"/>
      <c r="AB9" s="531"/>
      <c r="AC9" s="4"/>
      <c r="AD9" s="270"/>
      <c r="AE9" s="4"/>
      <c r="AF9" s="4"/>
      <c r="AG9" s="4"/>
      <c r="AH9" s="4"/>
      <c r="AI9" s="4"/>
    </row>
    <row r="10" spans="1:35" ht="12.75" customHeight="1">
      <c r="B10" s="273"/>
      <c r="C10" s="49" t="s">
        <v>192</v>
      </c>
      <c r="D10" s="47"/>
      <c r="E10" s="126"/>
      <c r="F10" s="281">
        <v>6</v>
      </c>
      <c r="G10" s="282"/>
      <c r="H10" s="113">
        <v>10</v>
      </c>
      <c r="I10" s="275"/>
      <c r="J10" s="518" t="s">
        <v>194</v>
      </c>
      <c r="K10" s="174"/>
      <c r="L10" s="520" t="s">
        <v>27</v>
      </c>
      <c r="M10" s="69"/>
      <c r="N10" s="522" t="s">
        <v>30</v>
      </c>
      <c r="O10" s="5"/>
      <c r="P10" s="518" t="s">
        <v>32</v>
      </c>
      <c r="Q10" s="174"/>
      <c r="R10" s="520" t="s">
        <v>9</v>
      </c>
      <c r="S10" s="69"/>
      <c r="T10" s="522" t="s">
        <v>33</v>
      </c>
      <c r="U10" s="4"/>
      <c r="V10" s="518" t="s">
        <v>190</v>
      </c>
      <c r="W10" s="145"/>
      <c r="X10" s="522" t="s">
        <v>31</v>
      </c>
      <c r="Y10" s="4"/>
      <c r="Z10" s="518" t="s">
        <v>32</v>
      </c>
      <c r="AA10" s="145"/>
      <c r="AB10" s="522" t="s">
        <v>9</v>
      </c>
      <c r="AC10" s="4"/>
      <c r="AD10" s="270"/>
      <c r="AE10" s="4"/>
      <c r="AF10" s="4"/>
      <c r="AG10" s="4"/>
      <c r="AH10" s="4"/>
      <c r="AI10" s="4"/>
    </row>
    <row r="11" spans="1:35" ht="15">
      <c r="B11" s="273"/>
      <c r="C11" s="283" t="s">
        <v>193</v>
      </c>
      <c r="D11" s="268"/>
      <c r="E11" s="284"/>
      <c r="F11" s="208">
        <f>BB88</f>
        <v>4</v>
      </c>
      <c r="G11" s="208"/>
      <c r="H11" s="209">
        <f>BC88</f>
        <v>9.5399999999999991</v>
      </c>
      <c r="I11" s="275"/>
      <c r="J11" s="519"/>
      <c r="K11" s="174"/>
      <c r="L11" s="521"/>
      <c r="M11" s="69"/>
      <c r="N11" s="523"/>
      <c r="O11" s="7"/>
      <c r="P11" s="519"/>
      <c r="Q11" s="174"/>
      <c r="R11" s="521"/>
      <c r="S11" s="69"/>
      <c r="T11" s="523"/>
      <c r="U11" s="4"/>
      <c r="V11" s="519"/>
      <c r="W11" s="146"/>
      <c r="X11" s="523"/>
      <c r="Y11" s="4"/>
      <c r="Z11" s="519"/>
      <c r="AA11" s="146"/>
      <c r="AB11" s="523"/>
      <c r="AC11" s="4"/>
      <c r="AD11" s="270"/>
      <c r="AE11" s="4"/>
      <c r="AF11" s="4"/>
      <c r="AG11" s="4"/>
      <c r="AH11" s="4"/>
      <c r="AI11" s="4"/>
    </row>
    <row r="12" spans="1:35" ht="23.25" customHeight="1" thickBot="1">
      <c r="B12" s="273"/>
      <c r="C12" s="285" t="s">
        <v>183</v>
      </c>
      <c r="D12" s="268"/>
      <c r="E12" s="284"/>
      <c r="F12" s="286"/>
      <c r="G12" s="287"/>
      <c r="H12" s="288"/>
      <c r="I12" s="275"/>
      <c r="J12" s="56"/>
      <c r="K12" s="175"/>
      <c r="L12" s="58"/>
      <c r="M12" s="175"/>
      <c r="N12" s="203"/>
      <c r="O12" s="175"/>
      <c r="P12" s="56"/>
      <c r="Q12" s="175"/>
      <c r="R12" s="58"/>
      <c r="S12" s="175"/>
      <c r="T12" s="203"/>
      <c r="U12" s="40"/>
      <c r="V12" s="56"/>
      <c r="W12" s="175"/>
      <c r="X12" s="203"/>
      <c r="Y12" s="40"/>
      <c r="Z12" s="56"/>
      <c r="AA12" s="175"/>
      <c r="AB12" s="203"/>
      <c r="AC12" s="2"/>
      <c r="AD12" s="289"/>
      <c r="AE12" s="2"/>
      <c r="AF12" s="2"/>
      <c r="AG12" s="2"/>
      <c r="AH12" s="2"/>
      <c r="AI12" s="2"/>
    </row>
    <row r="13" spans="1:35" ht="15.75" thickTop="1">
      <c r="B13" s="273"/>
      <c r="C13" s="49" t="s">
        <v>171</v>
      </c>
      <c r="D13" s="47"/>
      <c r="E13" s="126"/>
      <c r="F13" s="290">
        <v>180</v>
      </c>
      <c r="G13" s="287"/>
      <c r="H13" s="115">
        <v>50</v>
      </c>
      <c r="J13" s="56"/>
      <c r="K13" s="175"/>
      <c r="L13" s="58"/>
      <c r="M13" s="175"/>
      <c r="N13" s="203"/>
      <c r="O13" s="175"/>
      <c r="P13" s="56"/>
      <c r="Q13" s="175"/>
      <c r="R13" s="58"/>
      <c r="S13" s="175"/>
      <c r="T13" s="203"/>
      <c r="U13" s="40"/>
      <c r="V13" s="56"/>
      <c r="W13" s="175"/>
      <c r="X13" s="203"/>
      <c r="Y13" s="40"/>
      <c r="Z13" s="56"/>
      <c r="AA13" s="175"/>
      <c r="AB13" s="203"/>
      <c r="AC13" s="2"/>
      <c r="AD13" s="291"/>
      <c r="AE13" s="2"/>
      <c r="AF13" s="2"/>
      <c r="AG13" s="2"/>
      <c r="AH13" s="2"/>
      <c r="AI13" s="2"/>
    </row>
    <row r="14" spans="1:35" ht="15">
      <c r="B14" s="273"/>
      <c r="C14" s="34" t="s">
        <v>172</v>
      </c>
      <c r="D14" s="47"/>
      <c r="E14" s="126"/>
      <c r="F14" s="290">
        <v>50</v>
      </c>
      <c r="G14" s="287"/>
      <c r="H14" s="115">
        <v>20</v>
      </c>
      <c r="J14" s="56"/>
      <c r="K14" s="175"/>
      <c r="L14" s="212"/>
      <c r="M14" s="31"/>
      <c r="N14" s="213"/>
      <c r="O14" s="175"/>
      <c r="P14" s="533" t="str">
        <f ca="1">IF(F15&lt;'Soybeans Already Planted'!BB95,"too soon for prevented planting","")</f>
        <v>too soon for prevented planting</v>
      </c>
      <c r="Q14" s="175"/>
      <c r="R14" s="212"/>
      <c r="S14" s="31"/>
      <c r="T14" s="213"/>
      <c r="U14" s="40"/>
      <c r="V14" s="56"/>
      <c r="W14" s="175"/>
      <c r="X14" s="213"/>
      <c r="Y14" s="40"/>
      <c r="Z14" s="534" t="str">
        <f ca="1">IF(H15&lt;'Soybeans Already Planted'!BC95,"too soon for prevented planting","")</f>
        <v/>
      </c>
      <c r="AA14" s="175"/>
      <c r="AB14" s="213"/>
      <c r="AC14" s="2"/>
      <c r="AD14" s="291"/>
      <c r="AE14" s="2"/>
      <c r="AF14" s="2"/>
      <c r="AG14" s="2"/>
      <c r="AH14" s="2"/>
      <c r="AI14" s="2"/>
    </row>
    <row r="15" spans="1:35" ht="15">
      <c r="B15" s="273"/>
      <c r="C15" s="49" t="s">
        <v>174</v>
      </c>
      <c r="D15" s="47"/>
      <c r="E15" s="126"/>
      <c r="F15" s="461">
        <v>40695</v>
      </c>
      <c r="G15" s="436"/>
      <c r="H15" s="202">
        <v>43636</v>
      </c>
      <c r="J15" s="64"/>
      <c r="K15" s="65"/>
      <c r="L15" s="214">
        <f>F15</f>
        <v>40695</v>
      </c>
      <c r="M15" s="215"/>
      <c r="N15" s="216">
        <f>H15</f>
        <v>43636</v>
      </c>
      <c r="O15" s="293"/>
      <c r="P15" s="533"/>
      <c r="Q15" s="65"/>
      <c r="R15" s="214">
        <f>F15</f>
        <v>40695</v>
      </c>
      <c r="S15" s="215"/>
      <c r="T15" s="216">
        <f>H15</f>
        <v>43636</v>
      </c>
      <c r="U15" s="437"/>
      <c r="V15" s="64"/>
      <c r="W15" s="293"/>
      <c r="X15" s="216">
        <f>H15</f>
        <v>43636</v>
      </c>
      <c r="Y15" s="437"/>
      <c r="Z15" s="534"/>
      <c r="AA15" s="293"/>
      <c r="AB15" s="216">
        <f>H15</f>
        <v>43636</v>
      </c>
      <c r="AD15" s="270"/>
      <c r="AE15" s="270"/>
      <c r="AF15" s="270"/>
      <c r="AG15" s="270"/>
      <c r="AH15" s="270"/>
    </row>
    <row r="16" spans="1:35" ht="15">
      <c r="B16" s="273"/>
      <c r="C16" s="35" t="s">
        <v>195</v>
      </c>
      <c r="D16" s="36"/>
      <c r="E16" s="126"/>
      <c r="F16" s="210" t="e">
        <f>IF(OR(F15&lt;AG83,F15&gt;=AG83+CHOOSE(AH80-1,AH77,AI77)),NA(),VLOOKUP(F15,AG83:AI180,AH80))*F13</f>
        <v>#VALUE!</v>
      </c>
      <c r="G16" s="210"/>
      <c r="H16" s="211">
        <f ca="1">MIN(H13,IF(BB102="Central and North MO",BC118*H13,BE118*H13))</f>
        <v>38.840136054903269</v>
      </c>
      <c r="J16" s="64"/>
      <c r="K16" s="65"/>
      <c r="L16" s="217"/>
      <c r="M16" s="218"/>
      <c r="N16" s="72"/>
      <c r="P16" s="533"/>
      <c r="Q16" s="65"/>
      <c r="R16" s="217"/>
      <c r="S16" s="218"/>
      <c r="T16" s="72"/>
      <c r="V16" s="64"/>
      <c r="W16" s="268"/>
      <c r="X16" s="72"/>
      <c r="Z16" s="534"/>
      <c r="AA16" s="268"/>
      <c r="AB16" s="72"/>
      <c r="AD16" s="270"/>
      <c r="AE16" s="270"/>
      <c r="AF16" s="270"/>
      <c r="AG16" s="270"/>
      <c r="AH16" s="270"/>
    </row>
    <row r="17" spans="1:41" ht="15">
      <c r="B17" s="273"/>
      <c r="C17" s="49" t="s">
        <v>196</v>
      </c>
      <c r="D17" s="268"/>
      <c r="E17" s="284"/>
      <c r="F17" s="286"/>
      <c r="G17" s="287"/>
      <c r="H17" s="288"/>
      <c r="I17" s="275"/>
      <c r="J17" s="64">
        <f>F14</f>
        <v>50</v>
      </c>
      <c r="K17" s="65"/>
      <c r="L17" s="70" t="e">
        <f>F16</f>
        <v>#VALUE!</v>
      </c>
      <c r="M17" s="71"/>
      <c r="N17" s="72">
        <f ca="1">H16</f>
        <v>38.840136054903269</v>
      </c>
      <c r="O17" s="7"/>
      <c r="P17" s="64">
        <v>0</v>
      </c>
      <c r="Q17" s="65"/>
      <c r="R17" s="70" t="e">
        <f>F16</f>
        <v>#VALUE!</v>
      </c>
      <c r="S17" s="71"/>
      <c r="T17" s="72">
        <f ca="1">H16</f>
        <v>38.840136054903269</v>
      </c>
      <c r="U17" s="4"/>
      <c r="V17" s="64">
        <f>H14</f>
        <v>20</v>
      </c>
      <c r="W17" s="6"/>
      <c r="X17" s="72">
        <f ca="1">H16</f>
        <v>38.840136054903269</v>
      </c>
      <c r="Y17" s="4"/>
      <c r="Z17" s="64">
        <v>0</v>
      </c>
      <c r="AA17" s="6"/>
      <c r="AB17" s="72">
        <f ca="1">H16</f>
        <v>38.840136054903269</v>
      </c>
      <c r="AC17" s="294"/>
      <c r="AD17" s="270"/>
      <c r="AE17" s="4"/>
      <c r="AF17" s="4"/>
      <c r="AG17" s="4"/>
      <c r="AH17" s="4"/>
      <c r="AI17" s="4"/>
    </row>
    <row r="18" spans="1:41" ht="23.25" customHeight="1" thickBot="1">
      <c r="C18" s="207" t="s">
        <v>19</v>
      </c>
      <c r="D18" s="46"/>
      <c r="E18" s="127"/>
      <c r="F18" s="123"/>
      <c r="G18" s="124"/>
      <c r="H18" s="125"/>
      <c r="J18" s="64"/>
      <c r="K18" s="65"/>
      <c r="L18" s="217"/>
      <c r="M18" s="218"/>
      <c r="N18" s="72"/>
      <c r="P18" s="64"/>
      <c r="Q18" s="65"/>
      <c r="R18" s="217"/>
      <c r="S18" s="218"/>
      <c r="T18" s="72"/>
      <c r="V18" s="64"/>
      <c r="W18" s="268"/>
      <c r="X18" s="72"/>
      <c r="Z18" s="64"/>
      <c r="AA18" s="268"/>
      <c r="AB18" s="72"/>
      <c r="AD18" s="270"/>
      <c r="AE18" s="270"/>
      <c r="AF18" s="270"/>
      <c r="AG18" s="270"/>
      <c r="AH18" s="270"/>
    </row>
    <row r="19" spans="1:41" ht="30.75" thickTop="1">
      <c r="C19" s="49" t="s">
        <v>168</v>
      </c>
      <c r="D19" s="205"/>
      <c r="E19" s="536" t="s">
        <v>164</v>
      </c>
      <c r="F19" s="536"/>
      <c r="G19" s="295"/>
      <c r="H19" s="192" t="s">
        <v>187</v>
      </c>
      <c r="J19" s="515" t="str">
        <f>E19</f>
        <v>Revenue Protection</v>
      </c>
      <c r="K19" s="168"/>
      <c r="L19" s="516" t="str">
        <f>E19</f>
        <v>Revenue Protection</v>
      </c>
      <c r="M19" s="219"/>
      <c r="N19" s="517" t="str">
        <f>H19</f>
        <v>Revenue Protection HPE</v>
      </c>
      <c r="O19" s="296"/>
      <c r="P19" s="515" t="str">
        <f>E19</f>
        <v>Revenue Protection</v>
      </c>
      <c r="Q19" s="168"/>
      <c r="R19" s="516" t="str">
        <f>E19</f>
        <v>Revenue Protection</v>
      </c>
      <c r="S19" s="219"/>
      <c r="T19" s="517" t="str">
        <f>H19</f>
        <v>Revenue Protection HPE</v>
      </c>
      <c r="U19" s="438"/>
      <c r="V19" s="515" t="str">
        <f>H19</f>
        <v>Revenue Protection HPE</v>
      </c>
      <c r="W19" s="296"/>
      <c r="X19" s="517" t="str">
        <f>H19</f>
        <v>Revenue Protection HPE</v>
      </c>
      <c r="Y19" s="438"/>
      <c r="Z19" s="515" t="str">
        <f>H19</f>
        <v>Revenue Protection HPE</v>
      </c>
      <c r="AA19" s="296"/>
      <c r="AB19" s="517" t="str">
        <f>H19</f>
        <v>Revenue Protection HPE</v>
      </c>
      <c r="AD19" s="270"/>
      <c r="AE19" s="270"/>
      <c r="AF19" s="270"/>
      <c r="AG19" s="270"/>
      <c r="AH19" s="270"/>
    </row>
    <row r="20" spans="1:41" ht="15">
      <c r="C20" s="204" t="s">
        <v>18</v>
      </c>
      <c r="D20" s="205"/>
      <c r="E20" s="116"/>
      <c r="F20" s="281">
        <v>25</v>
      </c>
      <c r="G20" s="282"/>
      <c r="H20" s="113">
        <v>15</v>
      </c>
      <c r="J20" s="515"/>
      <c r="K20" s="168"/>
      <c r="L20" s="516"/>
      <c r="M20" s="219"/>
      <c r="N20" s="517"/>
      <c r="O20" s="296"/>
      <c r="P20" s="515"/>
      <c r="Q20" s="168"/>
      <c r="R20" s="516"/>
      <c r="S20" s="219"/>
      <c r="T20" s="517"/>
      <c r="U20" s="438"/>
      <c r="V20" s="515"/>
      <c r="W20" s="296"/>
      <c r="X20" s="517"/>
      <c r="Y20" s="438"/>
      <c r="Z20" s="515"/>
      <c r="AA20" s="296"/>
      <c r="AB20" s="517"/>
      <c r="AD20" s="270"/>
      <c r="AE20" s="270"/>
      <c r="AF20" s="270"/>
      <c r="AG20" s="270"/>
      <c r="AH20" s="270"/>
    </row>
    <row r="21" spans="1:41" ht="15">
      <c r="C21" s="49" t="s">
        <v>197</v>
      </c>
      <c r="D21" s="205"/>
      <c r="E21" s="116"/>
      <c r="F21" s="297">
        <v>1</v>
      </c>
      <c r="G21" s="298"/>
      <c r="H21" s="299">
        <v>1</v>
      </c>
      <c r="J21" s="80" t="str">
        <f>IF($AU$79=3,F21,"")</f>
        <v/>
      </c>
      <c r="K21" s="81"/>
      <c r="L21" s="220" t="str">
        <f>IF($AU$79=3,F21,"")</f>
        <v/>
      </c>
      <c r="M21" s="81"/>
      <c r="N21" s="221" t="str">
        <f>IF($AV$79=3,H21,"")</f>
        <v/>
      </c>
      <c r="O21" s="300"/>
      <c r="P21" s="80" t="str">
        <f>IF($AU$79=3,F21,"")</f>
        <v/>
      </c>
      <c r="Q21" s="81"/>
      <c r="R21" s="220" t="str">
        <f>IF($AU$79=3,F21,"")</f>
        <v/>
      </c>
      <c r="S21" s="81"/>
      <c r="T21" s="221" t="str">
        <f>IF($AV$79=3,H21,"")</f>
        <v/>
      </c>
      <c r="U21" s="386"/>
      <c r="V21" s="80" t="str">
        <f>IF($AV$79=3,H21,"")</f>
        <v/>
      </c>
      <c r="W21" s="300"/>
      <c r="X21" s="221" t="str">
        <f>IF($AV$79=3,H21,"")</f>
        <v/>
      </c>
      <c r="Y21" s="386"/>
      <c r="Z21" s="80" t="str">
        <f>IF($AV$79=3,H21,"")</f>
        <v/>
      </c>
      <c r="AA21" s="300"/>
      <c r="AB21" s="221" t="str">
        <f>IF($AV$79=3,H21,"")</f>
        <v/>
      </c>
    </row>
    <row r="22" spans="1:41" ht="15">
      <c r="C22" s="49" t="s">
        <v>173</v>
      </c>
      <c r="D22" s="205"/>
      <c r="E22" s="116"/>
      <c r="F22" s="290">
        <v>160</v>
      </c>
      <c r="G22" s="287"/>
      <c r="H22" s="115">
        <v>45</v>
      </c>
      <c r="J22" s="82">
        <f t="shared" ref="J22:J23" si="0">F22</f>
        <v>160</v>
      </c>
      <c r="K22" s="83"/>
      <c r="L22" s="222">
        <f>F22</f>
        <v>160</v>
      </c>
      <c r="M22" s="223"/>
      <c r="N22" s="224">
        <f>H22</f>
        <v>45</v>
      </c>
      <c r="P22" s="82">
        <f>F22</f>
        <v>160</v>
      </c>
      <c r="Q22" s="83"/>
      <c r="R22" s="222">
        <f>F22</f>
        <v>160</v>
      </c>
      <c r="S22" s="223"/>
      <c r="T22" s="224">
        <f>H22</f>
        <v>45</v>
      </c>
      <c r="V22" s="82">
        <f>H22</f>
        <v>45</v>
      </c>
      <c r="W22" s="268"/>
      <c r="X22" s="224">
        <f>H22</f>
        <v>45</v>
      </c>
      <c r="Z22" s="82">
        <f>H22</f>
        <v>45</v>
      </c>
      <c r="AA22" s="268"/>
      <c r="AB22" s="224">
        <f>H22</f>
        <v>45</v>
      </c>
      <c r="AD22" s="270"/>
      <c r="AE22" s="270"/>
      <c r="AF22" s="270"/>
      <c r="AG22" s="270"/>
      <c r="AH22" s="270"/>
    </row>
    <row r="23" spans="1:41" ht="15">
      <c r="C23" s="204" t="s">
        <v>14</v>
      </c>
      <c r="D23" s="205"/>
      <c r="E23" s="116"/>
      <c r="F23" s="297">
        <v>0.85</v>
      </c>
      <c r="G23" s="298"/>
      <c r="H23" s="118">
        <v>0.75</v>
      </c>
      <c r="J23" s="80">
        <f t="shared" si="0"/>
        <v>0.85</v>
      </c>
      <c r="K23" s="81"/>
      <c r="L23" s="220">
        <f>F23</f>
        <v>0.85</v>
      </c>
      <c r="M23" s="81"/>
      <c r="N23" s="221">
        <f>H23</f>
        <v>0.75</v>
      </c>
      <c r="O23" s="300"/>
      <c r="P23" s="80">
        <f>F23</f>
        <v>0.85</v>
      </c>
      <c r="Q23" s="81"/>
      <c r="R23" s="220">
        <f>F23</f>
        <v>0.85</v>
      </c>
      <c r="S23" s="81"/>
      <c r="T23" s="221">
        <f>H23</f>
        <v>0.75</v>
      </c>
      <c r="U23" s="386"/>
      <c r="V23" s="80">
        <f>H23</f>
        <v>0.75</v>
      </c>
      <c r="W23" s="300"/>
      <c r="X23" s="221">
        <f>H23</f>
        <v>0.75</v>
      </c>
      <c r="Y23" s="386"/>
      <c r="Z23" s="80">
        <f>H23</f>
        <v>0.75</v>
      </c>
      <c r="AA23" s="300"/>
      <c r="AB23" s="221">
        <f>H23</f>
        <v>0.75</v>
      </c>
    </row>
    <row r="24" spans="1:41" ht="15" hidden="1">
      <c r="C24" s="49" t="s">
        <v>15</v>
      </c>
      <c r="D24" s="205"/>
      <c r="E24" s="119"/>
      <c r="F24" s="128">
        <f ca="1">IF(AU79=2,"Not Applicable",IF(F15&lt;$BB95,1,IF(F15&gt;($BB95+BB96),0.6,1-(F15-$BB95)/100))*IF(AU79=1,BB83,F23))</f>
        <v>0.85</v>
      </c>
      <c r="G24" s="129"/>
      <c r="H24" s="130">
        <f ca="1">IF(AV79=2,"Not Applicable",IF(H15&lt;$BC95,1,IF(H15&gt;($BC95+BC96),0.6,1-(H15-$BC95)/100))*IF(AV79=1,BB83,H23))</f>
        <v>0.75</v>
      </c>
      <c r="J24" s="80">
        <f>F23</f>
        <v>0.85</v>
      </c>
      <c r="K24" s="81"/>
      <c r="L24" s="220">
        <f ca="1">F24</f>
        <v>0.85</v>
      </c>
      <c r="M24" s="81"/>
      <c r="N24" s="221">
        <f ca="1">H24</f>
        <v>0.75</v>
      </c>
      <c r="O24" s="300"/>
      <c r="P24" s="80">
        <v>0.6</v>
      </c>
      <c r="Q24" s="81"/>
      <c r="R24" s="220">
        <f ca="1">F24</f>
        <v>0.85</v>
      </c>
      <c r="S24" s="81"/>
      <c r="T24" s="221">
        <f ca="1">H24</f>
        <v>0.75</v>
      </c>
      <c r="U24" s="440"/>
      <c r="V24" s="80">
        <f>H23</f>
        <v>0.75</v>
      </c>
      <c r="W24" s="441"/>
      <c r="X24" s="221">
        <f ca="1">H24</f>
        <v>0.75</v>
      </c>
      <c r="Y24" s="440"/>
      <c r="Z24" s="80">
        <v>0.6</v>
      </c>
      <c r="AA24" s="441"/>
      <c r="AB24" s="221">
        <f ca="1">H24</f>
        <v>0.75</v>
      </c>
    </row>
    <row r="25" spans="1:41" ht="8.25" customHeight="1">
      <c r="B25" s="273"/>
      <c r="C25" s="301"/>
      <c r="D25" s="268"/>
      <c r="E25" s="276"/>
      <c r="F25" s="268"/>
      <c r="G25" s="276"/>
      <c r="H25" s="302"/>
      <c r="J25" s="225"/>
      <c r="K25" s="226"/>
      <c r="L25" s="227"/>
      <c r="M25" s="228"/>
      <c r="N25" s="229"/>
      <c r="P25" s="225"/>
      <c r="Q25" s="226"/>
      <c r="R25" s="227"/>
      <c r="S25" s="228"/>
      <c r="T25" s="229"/>
      <c r="V25" s="225"/>
      <c r="W25" s="268"/>
      <c r="X25" s="229"/>
      <c r="Z25" s="225"/>
      <c r="AA25" s="268"/>
      <c r="AB25" s="229"/>
    </row>
    <row r="26" spans="1:41" s="4" customFormat="1" ht="12.75" customHeight="1">
      <c r="A26" s="272"/>
      <c r="B26" s="273"/>
      <c r="C26" s="172" t="s">
        <v>176</v>
      </c>
      <c r="D26" s="6"/>
      <c r="E26" s="50"/>
      <c r="F26" s="6"/>
      <c r="G26" s="50"/>
      <c r="H26" s="303"/>
      <c r="I26" s="8"/>
      <c r="J26" s="230" t="str">
        <f>"$"&amp;ROUND(IF($AU$79&gt;3,J22*J24*$BB$88,0),2)&amp;"/acre"</f>
        <v>$544/acre</v>
      </c>
      <c r="K26" s="231"/>
      <c r="L26" s="232" t="str">
        <f ca="1">"$"&amp;ROUND(IF($AU$79&gt;3,L22*L24*$BB$88,0),2)&amp;"/acre"</f>
        <v>$544/acre</v>
      </c>
      <c r="M26" s="233"/>
      <c r="N26" s="234" t="str">
        <f ca="1">"$"&amp;ROUND(IF($AV$79&gt;3,N22*N24*$BC$88,0),2)&amp;"/acre"</f>
        <v>$321.98/acre</v>
      </c>
      <c r="O26" s="6"/>
      <c r="P26" s="230" t="str">
        <f>"$"&amp;ROUND(IF($AU$79&gt;3,P22*P24*$BB$88,0),2)&amp;"/acre"</f>
        <v>$384/acre</v>
      </c>
      <c r="Q26" s="231"/>
      <c r="R26" s="232" t="str">
        <f ca="1">"$"&amp;ROUND(IF($AU$79&gt;3,R22*R24*$BB$88,0),2)&amp;"/acre"</f>
        <v>$544/acre</v>
      </c>
      <c r="S26" s="233"/>
      <c r="T26" s="234" t="str">
        <f ca="1">"$"&amp;ROUND(IF($AV$79&gt;3,T22*T24*$BC$88,0),2)&amp;"/acre"</f>
        <v>$321.98/acre</v>
      </c>
      <c r="V26" s="230" t="str">
        <f>"$"&amp;ROUND(IF($AV$79&gt;3,V22*V24*$BC$88,0),2)&amp;"/acre"</f>
        <v>$321.98/acre</v>
      </c>
      <c r="W26" s="442"/>
      <c r="X26" s="234" t="str">
        <f>"$"&amp;ROUND(IF($AV$79&gt;3,X22*X23*$BC$88,0),2)&amp;"/acre"</f>
        <v>$321.98/acre</v>
      </c>
      <c r="Z26" s="230" t="str">
        <f>"$"&amp;ROUND(IF($AV$79&gt;3,Z22*Z24*$BC$88,0),2)&amp;"/acre"</f>
        <v>$257.58/acre</v>
      </c>
      <c r="AA26" s="442"/>
      <c r="AB26" s="234" t="str">
        <f ca="1">"$"&amp;ROUND(IF($AV$79&gt;3,AB22*AB24*$BC$88,0),2)&amp;"/acre"</f>
        <v>$321.98/acre</v>
      </c>
      <c r="AN26" s="304"/>
    </row>
    <row r="27" spans="1:41" s="19" customFormat="1">
      <c r="A27" s="305"/>
      <c r="B27" s="306"/>
      <c r="C27" s="307" t="s">
        <v>175</v>
      </c>
      <c r="D27" s="21"/>
      <c r="E27" s="30"/>
      <c r="F27" s="21"/>
      <c r="G27" s="30"/>
      <c r="H27" s="308"/>
      <c r="I27" s="21"/>
      <c r="J27" s="235" t="str">
        <f>ROUND(IF($AU$79=1,$BB$83,IF($AU$79=3,J24,0))*J22,1)&amp;" bu/ac"</f>
        <v>0 bu/ac</v>
      </c>
      <c r="K27" s="236"/>
      <c r="L27" s="237" t="str">
        <f>ROUND(IF($AU$79=1,$BB$83,IF($AU$79=3,L23,0))*L22,1)&amp;" bu/ac"</f>
        <v>0 bu/ac</v>
      </c>
      <c r="M27" s="238"/>
      <c r="N27" s="239" t="str">
        <f>ROUND(IF($AV$79=1,$BB$83,IF($AV$79=3,N24,0))*N22,1)&amp;" bu/ac"</f>
        <v>0 bu/ac</v>
      </c>
      <c r="O27" s="238"/>
      <c r="P27" s="235" t="str">
        <f>ROUND(IF($AU$79=1,$BB$83,IF($AU$79=3,P23*0.6,0))*P22,0)&amp;" bu/ac"</f>
        <v>0 bu/ac</v>
      </c>
      <c r="Q27" s="236"/>
      <c r="R27" s="237" t="str">
        <f>ROUND(IF($AU$79=1,$BB$83,IF($AU$79=3,R24,0))*R22,1)&amp;" bu/ac"</f>
        <v>0 bu/ac</v>
      </c>
      <c r="S27" s="238"/>
      <c r="T27" s="239" t="str">
        <f>ROUND(IF($AV$79=1,$BB$83,IF($AV$79=3,T24,0))*T22,0)&amp;" bu/ac"</f>
        <v>0 bu/ac</v>
      </c>
      <c r="U27" s="443"/>
      <c r="V27" s="235" t="str">
        <f>ROUND(IF($AV$79=1,$BB$83,IF($AV$79=3,V24,0))*V22,0)&amp;" bu/ac"</f>
        <v>0 bu/ac</v>
      </c>
      <c r="W27" s="238"/>
      <c r="X27" s="239" t="str">
        <f>ROUND(IF($AV$79=1,$BB$83,IF($AV$79=3,X23,0))*X22,0)&amp;" bu/ac"</f>
        <v>0 bu/ac</v>
      </c>
      <c r="Y27" s="443"/>
      <c r="Z27" s="235" t="str">
        <f>ROUND(IF($AV$79=1,$BB$83,IF($AV$79=3,Z24,0))*Z22,0)&amp;" bu/ac"</f>
        <v>0 bu/ac</v>
      </c>
      <c r="AA27" s="238"/>
      <c r="AB27" s="239" t="str">
        <f>ROUND(IF($AV$79=1,$BB$83,IF($AV$79=3,AB24,0))*AB22,0)&amp;" bu/ac"</f>
        <v>0 bu/ac</v>
      </c>
      <c r="AJ27" s="21"/>
      <c r="AK27" s="21"/>
      <c r="AL27" s="42"/>
      <c r="AN27" s="289"/>
      <c r="AO27" s="42"/>
    </row>
    <row r="28" spans="1:41" s="19" customFormat="1">
      <c r="A28" s="305"/>
      <c r="B28" s="306"/>
      <c r="C28" s="307" t="s">
        <v>177</v>
      </c>
      <c r="D28" s="21"/>
      <c r="E28" s="30"/>
      <c r="F28" s="296"/>
      <c r="G28" s="30"/>
      <c r="H28" s="308"/>
      <c r="I28" s="21"/>
      <c r="J28" s="240" t="str">
        <f>"$"&amp;ROUND(IF($AU$79=1,$BC$83,IF($AU$79=3,J21,0))*$BB$88,2)&amp;"/bushel"</f>
        <v>$0/bushel</v>
      </c>
      <c r="K28" s="241"/>
      <c r="L28" s="242" t="str">
        <f>"$"&amp;ROUND(IF($AU$79=1,$BC$83,IF($AU$79=3,L21,0))*$BB$88,2)&amp;"/bushel"</f>
        <v>$0/bushel</v>
      </c>
      <c r="M28" s="243"/>
      <c r="N28" s="244" t="str">
        <f>"$"&amp;ROUND(IF($AV$79=1,$BC$83,IF($AV$79=3,N21,0))*$BC$88,2)&amp;"/bushel"</f>
        <v>$0/bushel</v>
      </c>
      <c r="O28" s="21"/>
      <c r="P28" s="240" t="str">
        <f>"$"&amp;ROUND(IF($AU$79=1,$BC$83,IF($AU$79=3,P21,0))*$BB$88,2)&amp;"/bushel"</f>
        <v>$0/bushel</v>
      </c>
      <c r="Q28" s="241"/>
      <c r="R28" s="242" t="str">
        <f>"$"&amp;ROUND(IF($AU$79=1,$BC$83,IF($AU$79=3,R21,0))*$BB$88,2)&amp;"/bushel"</f>
        <v>$0/bushel</v>
      </c>
      <c r="S28" s="243"/>
      <c r="T28" s="244" t="str">
        <f>"$"&amp;ROUND(IF($AV$79=1,$BC$83,IF($AV$79=3,T21,0))*$BC$88,2)&amp;"/bushel"</f>
        <v>$0/bushel</v>
      </c>
      <c r="V28" s="240" t="str">
        <f>"$"&amp;ROUND(IF($AV$79=1,$BC$83,IF($AV$79=3,V21,0))*$BC$88,2)&amp;"/bushel"</f>
        <v>$0/bushel</v>
      </c>
      <c r="W28" s="444"/>
      <c r="X28" s="244" t="str">
        <f>"$"&amp;ROUND(IF($AV$79=1,$BC$83,IF($AV$79=3,X21,0))*$BC$88,2)&amp;"/bushel"</f>
        <v>$0/bushel</v>
      </c>
      <c r="Z28" s="240" t="str">
        <f>"$"&amp;ROUND(IF($AV$79=1,$BC$83,IF($AV$79=3,Z21,0))*$BC$88,2)&amp;"/bushel"</f>
        <v>$0/bushel</v>
      </c>
      <c r="AA28" s="444"/>
      <c r="AB28" s="244" t="str">
        <f>"$"&amp;ROUND(IF($AV$79=1,$BC$83,IF($AV$79=3,AB21,0))*$BC$88,2)&amp;"/bushel"</f>
        <v>$0/bushel</v>
      </c>
    </row>
    <row r="29" spans="1:41" s="2" customFormat="1" ht="23.25" customHeight="1" thickBot="1">
      <c r="A29" s="252"/>
      <c r="B29" s="254"/>
      <c r="C29" s="512" t="s">
        <v>29</v>
      </c>
      <c r="D29" s="513"/>
      <c r="E29" s="88"/>
      <c r="F29" s="6"/>
      <c r="G29" s="50"/>
      <c r="H29" s="303"/>
      <c r="I29" s="8"/>
      <c r="J29" s="245"/>
      <c r="K29" s="67"/>
      <c r="L29" s="246"/>
      <c r="M29" s="247"/>
      <c r="N29" s="248"/>
      <c r="O29" s="8"/>
      <c r="P29" s="245"/>
      <c r="Q29" s="67"/>
      <c r="R29" s="246"/>
      <c r="S29" s="247"/>
      <c r="T29" s="248"/>
      <c r="V29" s="245"/>
      <c r="W29" s="8"/>
      <c r="X29" s="248"/>
      <c r="Z29" s="245"/>
      <c r="AA29" s="8"/>
      <c r="AB29" s="248"/>
    </row>
    <row r="30" spans="1:41" s="2" customFormat="1" ht="15.75" thickTop="1">
      <c r="A30" s="272"/>
      <c r="B30" s="273"/>
      <c r="C30" s="204" t="s">
        <v>17</v>
      </c>
      <c r="D30" s="205"/>
      <c r="E30" s="84"/>
      <c r="F30" s="8"/>
      <c r="G30" s="31"/>
      <c r="H30" s="12"/>
      <c r="I30" s="9"/>
      <c r="J30" s="97"/>
      <c r="K30" s="67"/>
      <c r="L30" s="95"/>
      <c r="M30" s="37"/>
      <c r="N30" s="309">
        <v>12</v>
      </c>
      <c r="O30" s="8"/>
      <c r="P30" s="97"/>
      <c r="Q30" s="67"/>
      <c r="R30" s="95"/>
      <c r="S30" s="37"/>
      <c r="T30" s="309">
        <v>12</v>
      </c>
      <c r="V30" s="99"/>
      <c r="W30" s="45"/>
      <c r="X30" s="94"/>
      <c r="Z30" s="97"/>
      <c r="AA30" s="45"/>
      <c r="AB30" s="309"/>
    </row>
    <row r="31" spans="1:41" s="2" customFormat="1" ht="12.75" customHeight="1">
      <c r="A31" s="272"/>
      <c r="B31" s="273"/>
      <c r="C31" s="73" t="s">
        <v>23</v>
      </c>
      <c r="D31" s="46"/>
      <c r="E31" s="77"/>
      <c r="F31" s="205"/>
      <c r="G31" s="84"/>
      <c r="H31" s="12"/>
      <c r="I31" s="8"/>
      <c r="J31" s="310"/>
      <c r="K31" s="67"/>
      <c r="M31" s="247"/>
      <c r="N31" s="311"/>
      <c r="O31" s="8"/>
      <c r="P31" s="310"/>
      <c r="Q31" s="67"/>
      <c r="S31" s="247"/>
      <c r="T31" s="311"/>
      <c r="V31" s="462"/>
      <c r="W31" s="8"/>
      <c r="X31" s="311"/>
      <c r="Z31" s="310"/>
      <c r="AA31" s="8"/>
      <c r="AB31" s="311"/>
    </row>
    <row r="32" spans="1:41" s="2" customFormat="1" ht="12.75" customHeight="1">
      <c r="A32" s="272"/>
      <c r="B32" s="273"/>
      <c r="C32" s="34" t="s">
        <v>181</v>
      </c>
      <c r="D32" s="173"/>
      <c r="E32" s="84"/>
      <c r="F32" s="8"/>
      <c r="G32" s="31"/>
      <c r="H32" s="12"/>
      <c r="I32" s="8"/>
      <c r="J32" s="312"/>
      <c r="K32" s="313"/>
      <c r="L32" s="314">
        <v>63</v>
      </c>
      <c r="M32" s="37"/>
      <c r="N32" s="315">
        <v>39</v>
      </c>
      <c r="O32" s="11"/>
      <c r="P32" s="445">
        <v>5</v>
      </c>
      <c r="Q32" s="313"/>
      <c r="R32" s="314">
        <v>63</v>
      </c>
      <c r="S32" s="37"/>
      <c r="T32" s="315">
        <v>39</v>
      </c>
      <c r="U32" s="31"/>
      <c r="V32" s="460"/>
      <c r="W32" s="62"/>
      <c r="X32" s="102">
        <v>39</v>
      </c>
      <c r="Y32" s="31"/>
      <c r="Z32" s="312">
        <v>5</v>
      </c>
      <c r="AA32" s="62"/>
      <c r="AB32" s="315">
        <v>39</v>
      </c>
      <c r="AD32" s="291"/>
    </row>
    <row r="33" spans="1:31" s="2" customFormat="1" ht="15">
      <c r="A33" s="272"/>
      <c r="B33" s="273"/>
      <c r="C33" s="204" t="s">
        <v>2</v>
      </c>
      <c r="D33" s="205"/>
      <c r="E33" s="84"/>
      <c r="F33" s="8"/>
      <c r="G33" s="31"/>
      <c r="H33" s="12"/>
      <c r="I33" s="8"/>
      <c r="J33" s="316"/>
      <c r="K33" s="313"/>
      <c r="L33" s="95"/>
      <c r="M33" s="37"/>
      <c r="N33" s="309"/>
      <c r="O33" s="11"/>
      <c r="P33" s="98"/>
      <c r="Q33" s="313"/>
      <c r="R33" s="95"/>
      <c r="S33" s="37"/>
      <c r="T33" s="309"/>
      <c r="U33" s="31"/>
      <c r="V33" s="99"/>
      <c r="W33" s="148"/>
      <c r="X33" s="94"/>
      <c r="Y33" s="31"/>
      <c r="Z33" s="316"/>
      <c r="AA33" s="148"/>
      <c r="AB33" s="309"/>
      <c r="AD33" s="291"/>
    </row>
    <row r="34" spans="1:31" s="2" customFormat="1" ht="15">
      <c r="A34" s="272"/>
      <c r="B34" s="273"/>
      <c r="C34" s="49" t="s">
        <v>185</v>
      </c>
      <c r="D34" s="205"/>
      <c r="E34" s="84"/>
      <c r="F34" s="8"/>
      <c r="G34" s="31"/>
      <c r="H34" s="12"/>
      <c r="I34" s="8"/>
      <c r="J34" s="316"/>
      <c r="K34" s="313"/>
      <c r="L34" s="95">
        <v>15</v>
      </c>
      <c r="M34" s="37"/>
      <c r="N34" s="309">
        <v>16</v>
      </c>
      <c r="O34" s="11"/>
      <c r="P34" s="98"/>
      <c r="Q34" s="313"/>
      <c r="R34" s="95">
        <v>15</v>
      </c>
      <c r="S34" s="37"/>
      <c r="T34" s="309"/>
      <c r="U34" s="31"/>
      <c r="V34" s="99"/>
      <c r="W34" s="148"/>
      <c r="X34" s="94">
        <v>13</v>
      </c>
      <c r="Y34" s="31"/>
      <c r="Z34" s="316"/>
      <c r="AA34" s="148"/>
      <c r="AB34" s="309">
        <v>16</v>
      </c>
      <c r="AD34" s="291"/>
    </row>
    <row r="35" spans="1:31" s="2" customFormat="1" ht="15">
      <c r="A35" s="272"/>
      <c r="B35" s="269"/>
      <c r="C35" s="204" t="s">
        <v>3</v>
      </c>
      <c r="D35" s="205"/>
      <c r="E35" s="84"/>
      <c r="F35" s="8"/>
      <c r="G35" s="31"/>
      <c r="H35" s="12"/>
      <c r="I35" s="8"/>
      <c r="J35" s="316"/>
      <c r="K35" s="313"/>
      <c r="L35" s="95">
        <v>3</v>
      </c>
      <c r="M35" s="37"/>
      <c r="N35" s="309">
        <v>5</v>
      </c>
      <c r="O35" s="11"/>
      <c r="P35" s="98">
        <v>2</v>
      </c>
      <c r="Q35" s="313"/>
      <c r="R35" s="95">
        <v>3</v>
      </c>
      <c r="S35" s="37"/>
      <c r="T35" s="309"/>
      <c r="U35" s="31"/>
      <c r="V35" s="99"/>
      <c r="W35" s="148"/>
      <c r="X35" s="94">
        <v>3</v>
      </c>
      <c r="Y35" s="31"/>
      <c r="Z35" s="316">
        <v>2</v>
      </c>
      <c r="AA35" s="148"/>
      <c r="AB35" s="309">
        <v>5</v>
      </c>
      <c r="AD35" s="291"/>
    </row>
    <row r="36" spans="1:31" s="2" customFormat="1" ht="15">
      <c r="A36" s="272"/>
      <c r="B36" s="269"/>
      <c r="C36" s="204" t="s">
        <v>4</v>
      </c>
      <c r="D36" s="205"/>
      <c r="E36" s="84"/>
      <c r="F36" s="8"/>
      <c r="G36" s="31"/>
      <c r="H36" s="12"/>
      <c r="I36" s="8"/>
      <c r="J36" s="96"/>
      <c r="K36" s="39"/>
      <c r="L36" s="95">
        <v>2</v>
      </c>
      <c r="M36" s="37"/>
      <c r="N36" s="309">
        <v>3</v>
      </c>
      <c r="O36" s="10"/>
      <c r="P36" s="98">
        <v>2</v>
      </c>
      <c r="Q36" s="39"/>
      <c r="R36" s="95">
        <v>2</v>
      </c>
      <c r="S36" s="37"/>
      <c r="T36" s="309"/>
      <c r="U36" s="31"/>
      <c r="V36" s="99"/>
      <c r="W36" s="45"/>
      <c r="X36" s="94">
        <v>2</v>
      </c>
      <c r="Y36" s="31"/>
      <c r="Z36" s="96">
        <v>2</v>
      </c>
      <c r="AA36" s="45"/>
      <c r="AB36" s="309">
        <v>3</v>
      </c>
      <c r="AD36" s="291"/>
    </row>
    <row r="37" spans="1:31" s="2" customFormat="1" ht="15">
      <c r="A37" s="272"/>
      <c r="B37" s="269"/>
      <c r="C37" s="506" t="s">
        <v>16</v>
      </c>
      <c r="D37" s="507"/>
      <c r="E37" s="507"/>
      <c r="F37" s="507"/>
      <c r="G37" s="507"/>
      <c r="H37" s="508"/>
      <c r="I37" s="8"/>
      <c r="J37" s="97"/>
      <c r="K37" s="67"/>
      <c r="L37" s="95"/>
      <c r="M37" s="37"/>
      <c r="N37" s="309"/>
      <c r="O37" s="31"/>
      <c r="P37" s="98"/>
      <c r="Q37" s="67"/>
      <c r="R37" s="95"/>
      <c r="S37" s="37"/>
      <c r="T37" s="309"/>
      <c r="U37" s="31"/>
      <c r="V37" s="99"/>
      <c r="W37" s="37"/>
      <c r="X37" s="94"/>
      <c r="Y37" s="31"/>
      <c r="Z37" s="97"/>
      <c r="AA37" s="37"/>
      <c r="AB37" s="309"/>
      <c r="AD37" s="291"/>
    </row>
    <row r="38" spans="1:31" s="319" customFormat="1" ht="15">
      <c r="A38" s="272"/>
      <c r="B38" s="273"/>
      <c r="C38" s="76" t="s">
        <v>24</v>
      </c>
      <c r="D38" s="188" t="s">
        <v>36</v>
      </c>
      <c r="E38" s="85"/>
      <c r="F38" s="317" t="s">
        <v>35</v>
      </c>
      <c r="G38" s="317"/>
      <c r="H38" s="100" t="s">
        <v>1</v>
      </c>
      <c r="I38" s="31"/>
      <c r="J38" s="318"/>
      <c r="K38" s="39"/>
      <c r="L38" s="101"/>
      <c r="M38" s="59"/>
      <c r="N38" s="311"/>
      <c r="O38" s="10"/>
      <c r="P38" s="446"/>
      <c r="Q38" s="39"/>
      <c r="R38" s="101"/>
      <c r="S38" s="59"/>
      <c r="T38" s="311"/>
      <c r="U38" s="31"/>
      <c r="V38" s="318"/>
      <c r="W38" s="148"/>
      <c r="X38" s="311"/>
      <c r="Y38" s="10"/>
      <c r="Z38" s="318"/>
      <c r="AA38" s="148"/>
      <c r="AB38" s="311"/>
      <c r="AD38" s="320"/>
    </row>
    <row r="39" spans="1:31" s="2" customFormat="1" ht="15">
      <c r="A39" s="272"/>
      <c r="B39" s="269"/>
      <c r="C39" s="20" t="s">
        <v>188</v>
      </c>
      <c r="D39" s="196">
        <v>0.25</v>
      </c>
      <c r="E39" s="322"/>
      <c r="F39" s="321">
        <v>0.3</v>
      </c>
      <c r="G39" s="322"/>
      <c r="H39" s="63">
        <v>0.05</v>
      </c>
      <c r="I39" s="8"/>
      <c r="J39" s="98">
        <f>D39*J17</f>
        <v>12.5</v>
      </c>
      <c r="K39" s="59"/>
      <c r="L39" s="95" t="e">
        <f>F39*L17</f>
        <v>#VALUE!</v>
      </c>
      <c r="M39" s="37"/>
      <c r="N39" s="309">
        <f ca="1">H39*N17</f>
        <v>1.9420068027451636</v>
      </c>
      <c r="O39" s="14"/>
      <c r="P39" s="98"/>
      <c r="Q39" s="59"/>
      <c r="R39" s="95" t="e">
        <f>F39*R17</f>
        <v>#VALUE!</v>
      </c>
      <c r="S39" s="37"/>
      <c r="T39" s="309">
        <f ca="1">H39*T17</f>
        <v>1.9420068027451636</v>
      </c>
      <c r="V39" s="230">
        <f>H39*V17</f>
        <v>1</v>
      </c>
      <c r="W39" s="442"/>
      <c r="X39" s="234">
        <f ca="1">H39*X17</f>
        <v>1.9420068027451636</v>
      </c>
      <c r="Z39" s="98"/>
      <c r="AA39" s="62"/>
      <c r="AB39" s="309">
        <f ca="1">H39*AB17</f>
        <v>1.9420068027451636</v>
      </c>
      <c r="AD39" s="291"/>
    </row>
    <row r="40" spans="1:31" s="2" customFormat="1" ht="15">
      <c r="A40" s="272"/>
      <c r="B40" s="269"/>
      <c r="C40" s="204" t="s">
        <v>3</v>
      </c>
      <c r="D40" s="205"/>
      <c r="E40" s="84"/>
      <c r="F40" s="8"/>
      <c r="G40" s="31"/>
      <c r="H40" s="12"/>
      <c r="I40" s="8"/>
      <c r="J40" s="98">
        <v>11</v>
      </c>
      <c r="K40" s="313"/>
      <c r="L40" s="95">
        <v>11</v>
      </c>
      <c r="M40" s="37"/>
      <c r="N40" s="309">
        <v>6</v>
      </c>
      <c r="O40" s="11"/>
      <c r="P40" s="98"/>
      <c r="Q40" s="313"/>
      <c r="R40" s="95">
        <v>6</v>
      </c>
      <c r="S40" s="37"/>
      <c r="T40" s="309"/>
      <c r="U40" s="31"/>
      <c r="V40" s="99">
        <v>6</v>
      </c>
      <c r="W40" s="148"/>
      <c r="X40" s="94">
        <v>6</v>
      </c>
      <c r="Y40" s="10"/>
      <c r="Z40" s="98"/>
      <c r="AA40" s="148"/>
      <c r="AB40" s="309">
        <v>6</v>
      </c>
      <c r="AD40" s="291"/>
    </row>
    <row r="41" spans="1:31" s="2" customFormat="1" ht="15">
      <c r="A41" s="272"/>
      <c r="B41" s="269"/>
      <c r="C41" s="204" t="s">
        <v>16</v>
      </c>
      <c r="D41" s="8"/>
      <c r="E41" s="31"/>
      <c r="F41" s="8"/>
      <c r="G41" s="31"/>
      <c r="H41" s="12"/>
      <c r="I41" s="8"/>
      <c r="J41" s="98"/>
      <c r="K41" s="313"/>
      <c r="L41" s="95"/>
      <c r="M41" s="37"/>
      <c r="N41" s="309"/>
      <c r="O41" s="11"/>
      <c r="P41" s="98"/>
      <c r="Q41" s="313"/>
      <c r="R41" s="95"/>
      <c r="S41" s="37"/>
      <c r="T41" s="309"/>
      <c r="U41" s="31"/>
      <c r="V41" s="99"/>
      <c r="W41" s="37"/>
      <c r="X41" s="94"/>
      <c r="Y41" s="10"/>
      <c r="Z41" s="98"/>
      <c r="AA41" s="37"/>
      <c r="AB41" s="309"/>
      <c r="AD41" s="291"/>
    </row>
    <row r="42" spans="1:31" s="330" customFormat="1" ht="12.75" customHeight="1">
      <c r="A42" s="323"/>
      <c r="B42" s="324"/>
      <c r="C42" s="3" t="s">
        <v>4</v>
      </c>
      <c r="D42" s="8"/>
      <c r="E42" s="31"/>
      <c r="F42" s="325"/>
      <c r="G42" s="326"/>
      <c r="H42" s="327"/>
      <c r="I42" s="108"/>
      <c r="J42" s="75">
        <v>15</v>
      </c>
      <c r="K42" s="68"/>
      <c r="L42" s="328">
        <v>15</v>
      </c>
      <c r="M42" s="37"/>
      <c r="N42" s="329">
        <v>10</v>
      </c>
      <c r="O42" s="38"/>
      <c r="P42" s="75"/>
      <c r="Q42" s="68"/>
      <c r="R42" s="328">
        <v>15</v>
      </c>
      <c r="S42" s="37"/>
      <c r="T42" s="329"/>
      <c r="U42" s="41"/>
      <c r="V42" s="432">
        <v>10</v>
      </c>
      <c r="W42" s="37"/>
      <c r="X42" s="149">
        <v>10</v>
      </c>
      <c r="Y42" s="41"/>
      <c r="Z42" s="75"/>
      <c r="AA42" s="37"/>
      <c r="AB42" s="447">
        <v>10</v>
      </c>
      <c r="AD42" s="291"/>
      <c r="AE42" s="2"/>
    </row>
    <row r="43" spans="1:31" s="338" customFormat="1" ht="15.75" thickBot="1">
      <c r="A43" s="331"/>
      <c r="B43" s="332"/>
      <c r="C43" s="152" t="s">
        <v>21</v>
      </c>
      <c r="D43" s="333"/>
      <c r="E43" s="334"/>
      <c r="F43" s="335"/>
      <c r="G43" s="336"/>
      <c r="H43" s="337"/>
      <c r="I43" s="143"/>
      <c r="J43" s="153">
        <f>SUM(J30:J42)</f>
        <v>38.5</v>
      </c>
      <c r="K43" s="154"/>
      <c r="L43" s="110" t="e">
        <f>SUM(L30:L42)</f>
        <v>#VALUE!</v>
      </c>
      <c r="M43" s="154"/>
      <c r="N43" s="107">
        <f ca="1">SUM(N30:N42)</f>
        <v>92.942006802745169</v>
      </c>
      <c r="O43" s="154"/>
      <c r="P43" s="153">
        <f>SUM(P30:P42)</f>
        <v>9</v>
      </c>
      <c r="Q43" s="154"/>
      <c r="R43" s="110" t="e">
        <f>SUM(R30:R42)</f>
        <v>#VALUE!</v>
      </c>
      <c r="S43" s="154"/>
      <c r="T43" s="107">
        <f ca="1">SUM(T30:T42)</f>
        <v>52.942006802745162</v>
      </c>
      <c r="U43" s="155"/>
      <c r="V43" s="153">
        <f>SUM(V32:V42)</f>
        <v>17</v>
      </c>
      <c r="W43" s="60"/>
      <c r="X43" s="107">
        <f ca="1">SUM(X32:X42)</f>
        <v>74.942006802745169</v>
      </c>
      <c r="Y43" s="155"/>
      <c r="Z43" s="153">
        <f>SUM(Z32:Z42)</f>
        <v>9</v>
      </c>
      <c r="AA43" s="60"/>
      <c r="AB43" s="107">
        <f ca="1">SUM(AB32:AB42)</f>
        <v>80.942006802745169</v>
      </c>
    </row>
    <row r="44" spans="1:31" s="2" customFormat="1" ht="13.5" thickTop="1">
      <c r="A44" s="272"/>
      <c r="B44" s="269"/>
      <c r="C44" s="339"/>
      <c r="D44" s="325"/>
      <c r="E44" s="326"/>
      <c r="F44" s="8"/>
      <c r="G44" s="31"/>
      <c r="H44" s="12"/>
      <c r="I44" s="8"/>
      <c r="J44" s="57"/>
      <c r="K44" s="39"/>
      <c r="L44" s="340"/>
      <c r="M44" s="341"/>
      <c r="N44" s="342"/>
      <c r="O44" s="39"/>
      <c r="P44" s="57"/>
      <c r="Q44" s="39"/>
      <c r="R44" s="340"/>
      <c r="S44" s="341"/>
      <c r="T44" s="342"/>
      <c r="U44" s="31"/>
      <c r="V44" s="57"/>
      <c r="W44" s="39"/>
      <c r="X44" s="342"/>
      <c r="Y44" s="31"/>
      <c r="Z44" s="57"/>
      <c r="AA44" s="39"/>
      <c r="AB44" s="342"/>
      <c r="AD44" s="291"/>
    </row>
    <row r="45" spans="1:31" s="2" customFormat="1">
      <c r="A45" s="272"/>
      <c r="B45" s="269"/>
      <c r="C45" s="3" t="s">
        <v>20</v>
      </c>
      <c r="D45" s="8"/>
      <c r="E45" s="31"/>
      <c r="F45" s="8"/>
      <c r="G45" s="31"/>
      <c r="H45" s="12"/>
      <c r="I45" s="8"/>
      <c r="J45" s="131">
        <f>J17*$F9</f>
        <v>275</v>
      </c>
      <c r="K45" s="78"/>
      <c r="L45" s="132" t="e">
        <f>L17*$F9</f>
        <v>#VALUE!</v>
      </c>
      <c r="M45" s="133"/>
      <c r="N45" s="79">
        <f ca="1">N17*$H9</f>
        <v>388.40136054903269</v>
      </c>
      <c r="O45" s="133"/>
      <c r="P45" s="131"/>
      <c r="Q45" s="78"/>
      <c r="R45" s="132" t="e">
        <f>R17*F9</f>
        <v>#VALUE!</v>
      </c>
      <c r="S45" s="133"/>
      <c r="T45" s="79">
        <f ca="1">T17*H9</f>
        <v>388.40136054903269</v>
      </c>
      <c r="V45" s="131">
        <f>V17*$H9</f>
        <v>200</v>
      </c>
      <c r="W45" s="14"/>
      <c r="X45" s="79">
        <f ca="1">X17*H9</f>
        <v>388.40136054903269</v>
      </c>
      <c r="Z45" s="131"/>
      <c r="AA45" s="14"/>
      <c r="AB45" s="79">
        <f ca="1">AB17*H9</f>
        <v>388.40136054903269</v>
      </c>
      <c r="AD45" s="291"/>
    </row>
    <row r="46" spans="1:31" s="2" customFormat="1">
      <c r="A46" s="272"/>
      <c r="B46" s="269"/>
      <c r="C46" s="3" t="s">
        <v>7</v>
      </c>
      <c r="D46" s="8"/>
      <c r="E46" s="31"/>
      <c r="F46" s="8"/>
      <c r="G46" s="31"/>
      <c r="H46" s="12"/>
      <c r="I46" s="8"/>
      <c r="J46" s="131">
        <f>CHOOSE($AU$79,J81,0,J83,J84,J85)</f>
        <v>616</v>
      </c>
      <c r="K46" s="78"/>
      <c r="L46" s="132" t="e">
        <f>CHOOSE($AU$79,L81,0,L83,L84,L85)</f>
        <v>#VALUE!</v>
      </c>
      <c r="M46" s="133"/>
      <c r="N46" s="79">
        <f ca="1">IF(AV79=2,J46,IF(0.65*J46&gt;CHOOSE($AV$79,N81,N82,N83,N84,N85),J46,0.35*J46+IF(AU79&gt;2,0.65*F20,0)))</f>
        <v>616</v>
      </c>
      <c r="O46" s="62"/>
      <c r="P46" s="131" t="str">
        <f ca="1">IF(F15&gt;BB95,0.6*F22*F23*BB88*IF(AU79=3,F21,1),"too early")</f>
        <v>too early</v>
      </c>
      <c r="Q46" s="78"/>
      <c r="R46" s="132" t="e">
        <f ca="1">CHOOSE($AU$79,R81,0,R83,R84,R85)</f>
        <v>#VALUE!</v>
      </c>
      <c r="S46" s="133"/>
      <c r="T46" s="79">
        <f ca="1">IF(T15&gt;BB95+BB96,0.35*P46+IF(T30&gt;0,0.65*F20,0),0)</f>
        <v>0</v>
      </c>
      <c r="V46" s="131"/>
      <c r="W46" s="8"/>
      <c r="X46" s="79"/>
      <c r="Z46" s="131"/>
      <c r="AA46" s="8"/>
      <c r="AB46" s="79"/>
      <c r="AD46" s="289"/>
    </row>
    <row r="47" spans="1:31" s="2" customFormat="1">
      <c r="A47" s="272"/>
      <c r="B47" s="269"/>
      <c r="C47" s="3" t="s">
        <v>6</v>
      </c>
      <c r="D47" s="8"/>
      <c r="E47" s="31"/>
      <c r="F47" s="8"/>
      <c r="G47" s="31"/>
      <c r="H47" s="12"/>
      <c r="I47" s="8"/>
      <c r="J47" s="131"/>
      <c r="K47" s="78"/>
      <c r="L47" s="132"/>
      <c r="M47" s="133"/>
      <c r="N47" s="79">
        <f ca="1">IF(N30&gt;0,IF(CHOOSE($AV$79,N81,N82,N83,N84,N85)&gt;0.65*J46,CHOOSE($AV$79,N81,N82,N83,N84,N85),0),0)</f>
        <v>0</v>
      </c>
      <c r="O47" s="133"/>
      <c r="P47" s="131"/>
      <c r="Q47" s="78"/>
      <c r="R47" s="132"/>
      <c r="S47" s="133"/>
      <c r="T47" s="79">
        <f ca="1">IF(T30&gt;0,CHOOSE($AV$79,T81,T82,T83,T84,T85),0)</f>
        <v>0</v>
      </c>
      <c r="V47" s="131">
        <f>CHOOSE($AV$79,V81,V82,V83,V84,V85)</f>
        <v>131.17499999999998</v>
      </c>
      <c r="W47" s="14"/>
      <c r="X47" s="79">
        <f ca="1">CHOOSE($AV$79,X81,X82,X83,X84,X85)</f>
        <v>0</v>
      </c>
      <c r="Z47" s="131" t="str">
        <f ca="1">IF(H15&gt;'Soybeans Already Planted'!BC95,0.6*H22*H23*BC88*IF(AV79=3,H21,1),"too early")</f>
        <v>too early</v>
      </c>
      <c r="AA47" s="14"/>
      <c r="AB47" s="79">
        <f ca="1">CHOOSE($AV$79,AB81,AB82,AB83,AB84,AB85)</f>
        <v>0</v>
      </c>
      <c r="AD47" s="291"/>
    </row>
    <row r="48" spans="1:31" s="343" customFormat="1" ht="15">
      <c r="A48" s="305"/>
      <c r="B48" s="19"/>
      <c r="C48" s="89" t="s">
        <v>8</v>
      </c>
      <c r="D48" s="90"/>
      <c r="E48" s="91"/>
      <c r="F48" s="90"/>
      <c r="G48" s="91"/>
      <c r="H48" s="92"/>
      <c r="I48" s="21"/>
      <c r="J48" s="134"/>
      <c r="K48" s="135"/>
      <c r="L48" s="136">
        <f>IF(AU79&gt;2,IF(F14&lt;0.9*F22,MIN(SUM(L32:L37),8*BB88*IF(AU79=3,F21,1))),0)</f>
        <v>32</v>
      </c>
      <c r="M48" s="137"/>
      <c r="N48" s="138"/>
      <c r="O48" s="139"/>
      <c r="P48" s="134"/>
      <c r="Q48" s="135"/>
      <c r="R48" s="136"/>
      <c r="S48" s="137"/>
      <c r="T48" s="138"/>
      <c r="U48" s="13"/>
      <c r="V48" s="150"/>
      <c r="W48" s="147"/>
      <c r="X48" s="151">
        <f>IF(AV79&gt;2,IF(H14&lt;0.9*H22,MIN(SUM(N32:N37),3*BC88*IF(AV79=3,H21,1)),0),0)</f>
        <v>28.619999999999997</v>
      </c>
      <c r="Y48" s="13"/>
      <c r="Z48" s="150"/>
      <c r="AA48" s="147"/>
      <c r="AB48" s="151"/>
      <c r="AD48" s="291"/>
      <c r="AE48" s="2"/>
    </row>
    <row r="49" spans="1:31" s="343" customFormat="1" ht="15.75" thickBot="1">
      <c r="A49" s="272"/>
      <c r="B49" s="269"/>
      <c r="C49" s="105" t="s">
        <v>22</v>
      </c>
      <c r="D49" s="103"/>
      <c r="E49" s="104"/>
      <c r="F49" s="103"/>
      <c r="G49" s="104"/>
      <c r="H49" s="106"/>
      <c r="I49" s="109"/>
      <c r="J49" s="140">
        <f>SUM(J45:J48)</f>
        <v>891</v>
      </c>
      <c r="K49" s="141"/>
      <c r="L49" s="142" t="e">
        <f t="shared" ref="L49:X49" si="1">SUM(L45:L48)</f>
        <v>#VALUE!</v>
      </c>
      <c r="M49" s="143"/>
      <c r="N49" s="144">
        <f t="shared" ca="1" si="1"/>
        <v>1004.4013605490327</v>
      </c>
      <c r="O49" s="143"/>
      <c r="P49" s="140" t="e">
        <f ca="1">IF(P46="too early",NA(),SUM(P45:P48))</f>
        <v>#N/A</v>
      </c>
      <c r="Q49" s="141"/>
      <c r="R49" s="142" t="e">
        <f t="shared" si="1"/>
        <v>#VALUE!</v>
      </c>
      <c r="S49" s="143"/>
      <c r="T49" s="144">
        <f t="shared" ca="1" si="1"/>
        <v>388.40136054903269</v>
      </c>
      <c r="U49" s="74"/>
      <c r="V49" s="140">
        <f t="shared" si="1"/>
        <v>331.17499999999995</v>
      </c>
      <c r="W49" s="74"/>
      <c r="X49" s="144">
        <f t="shared" ca="1" si="1"/>
        <v>417.02136054903269</v>
      </c>
      <c r="Y49" s="74"/>
      <c r="Z49" s="140" t="e">
        <f ca="1">IF(Z47="too early",NA(),SUM(Z45:Z48))</f>
        <v>#N/A</v>
      </c>
      <c r="AA49" s="74"/>
      <c r="AB49" s="144">
        <f ca="1">SUM(AB45:AB48)</f>
        <v>388.40136054903269</v>
      </c>
      <c r="AD49" s="291"/>
      <c r="AE49" s="2"/>
    </row>
    <row r="50" spans="1:31" s="338" customFormat="1" ht="16.5" thickTop="1" thickBot="1">
      <c r="A50" s="331"/>
      <c r="B50" s="332"/>
      <c r="C50" s="156" t="s">
        <v>28</v>
      </c>
      <c r="D50" s="157"/>
      <c r="E50" s="158"/>
      <c r="F50" s="157"/>
      <c r="G50" s="158"/>
      <c r="H50" s="159"/>
      <c r="I50" s="143"/>
      <c r="J50" s="160" t="e">
        <f ca="1">IF(F15&lt;BB97,NA(),J49-J43)</f>
        <v>#N/A</v>
      </c>
      <c r="K50" s="161"/>
      <c r="L50" s="162" t="e">
        <f ca="1">IF(F15&lt;BB97,NA(),L49-L43)</f>
        <v>#N/A</v>
      </c>
      <c r="M50" s="163"/>
      <c r="N50" s="164">
        <f ca="1">IF(H15&lt;BC97,NA(),N49-N43)</f>
        <v>911.45935374628755</v>
      </c>
      <c r="O50" s="143"/>
      <c r="P50" s="160" t="e">
        <f ca="1">P49-P43</f>
        <v>#N/A</v>
      </c>
      <c r="Q50" s="161"/>
      <c r="R50" s="162" t="e">
        <f ca="1">IF(F15&lt;BB97,NA(),R49-R43)</f>
        <v>#N/A</v>
      </c>
      <c r="S50" s="163"/>
      <c r="T50" s="164">
        <f ca="1">IF(H15&lt;BC97,NA(),T49-T43)</f>
        <v>335.45935374628755</v>
      </c>
      <c r="U50" s="165"/>
      <c r="V50" s="160">
        <f>V49-V43</f>
        <v>314.17499999999995</v>
      </c>
      <c r="W50" s="165"/>
      <c r="X50" s="164">
        <f ca="1">IF(H15&lt;BC97,NA(),X49-X43)</f>
        <v>342.07935374628755</v>
      </c>
      <c r="Y50" s="165"/>
      <c r="Z50" s="160" t="e">
        <f ca="1">Z49-Z43</f>
        <v>#N/A</v>
      </c>
      <c r="AA50" s="165"/>
      <c r="AB50" s="164">
        <f ca="1">IF(H15&lt;BC97,NA(),AB49-AB43)</f>
        <v>307.45935374628755</v>
      </c>
    </row>
    <row r="51" spans="1:31" s="2" customFormat="1">
      <c r="A51" s="272"/>
      <c r="B51" s="269"/>
      <c r="C51" s="43"/>
      <c r="D51" s="24"/>
      <c r="E51" s="86"/>
      <c r="F51" s="8"/>
      <c r="G51" s="31"/>
      <c r="H51" s="8"/>
      <c r="I51" s="8"/>
      <c r="J51" s="44"/>
      <c r="K51" s="61"/>
      <c r="L51" s="44"/>
      <c r="M51" s="44"/>
      <c r="N51" s="16"/>
      <c r="O51" s="16"/>
      <c r="P51" s="16"/>
      <c r="Q51" s="16"/>
      <c r="R51" s="16"/>
      <c r="S51" s="16"/>
      <c r="T51" s="16"/>
      <c r="U51" s="15"/>
      <c r="V51" s="16"/>
      <c r="W51" s="16"/>
      <c r="X51" s="16"/>
      <c r="Y51" s="15"/>
      <c r="Z51" s="16"/>
      <c r="AA51" s="16"/>
      <c r="AB51" s="16"/>
      <c r="AD51" s="291"/>
    </row>
    <row r="52" spans="1:31" ht="14.25">
      <c r="C52" s="280"/>
      <c r="D52" s="280"/>
      <c r="E52" s="344"/>
      <c r="J52" s="345"/>
      <c r="K52" s="346"/>
      <c r="L52" s="345"/>
      <c r="M52" s="43"/>
      <c r="N52" s="345"/>
      <c r="O52" s="43"/>
      <c r="P52" s="345"/>
      <c r="Q52" s="345"/>
      <c r="R52" s="345"/>
      <c r="S52" s="345"/>
      <c r="T52" s="345"/>
      <c r="U52" s="345"/>
      <c r="V52" s="345"/>
      <c r="W52" s="345"/>
      <c r="X52" s="345"/>
      <c r="Y52" s="345"/>
      <c r="Z52" s="345"/>
      <c r="AA52" s="345"/>
      <c r="AB52" s="345"/>
      <c r="AD52" s="291"/>
      <c r="AE52" s="2"/>
    </row>
    <row r="53" spans="1:31" ht="14.25">
      <c r="C53" s="280"/>
      <c r="D53" s="280"/>
      <c r="E53" s="344"/>
      <c r="J53" s="347"/>
      <c r="K53" s="348"/>
      <c r="L53" s="347"/>
      <c r="M53" s="349"/>
      <c r="N53" s="347"/>
      <c r="R53" s="448"/>
      <c r="S53" s="448"/>
      <c r="T53" s="347"/>
      <c r="V53" s="347"/>
      <c r="W53" s="347"/>
      <c r="X53" s="347"/>
      <c r="AB53" s="448"/>
      <c r="AD53" s="291"/>
      <c r="AE53" s="2"/>
    </row>
    <row r="54" spans="1:31" ht="14.25">
      <c r="C54" s="280"/>
      <c r="D54" s="280"/>
      <c r="E54" s="344"/>
      <c r="AD54" s="291"/>
      <c r="AE54" s="2"/>
    </row>
    <row r="55" spans="1:31" s="350" customFormat="1" ht="14.25">
      <c r="A55" s="272"/>
      <c r="C55" s="351"/>
      <c r="D55" s="351"/>
      <c r="E55" s="351"/>
      <c r="I55" s="354"/>
      <c r="J55" s="352"/>
      <c r="K55" s="30"/>
      <c r="M55" s="354"/>
      <c r="O55" s="354"/>
      <c r="AD55" s="355"/>
      <c r="AE55" s="356"/>
    </row>
    <row r="56" spans="1:31">
      <c r="AD56" s="291"/>
      <c r="AE56" s="2"/>
    </row>
    <row r="57" spans="1:31">
      <c r="AD57" s="291"/>
      <c r="AE57" s="2"/>
    </row>
    <row r="58" spans="1:31">
      <c r="AD58" s="291"/>
      <c r="AE58" s="2"/>
    </row>
    <row r="59" spans="1:31">
      <c r="AD59" s="291"/>
      <c r="AE59" s="2"/>
    </row>
    <row r="60" spans="1:31">
      <c r="AD60" s="291"/>
      <c r="AE60" s="2"/>
    </row>
    <row r="61" spans="1:31">
      <c r="AD61" s="291"/>
      <c r="AE61" s="2"/>
    </row>
    <row r="62" spans="1:31">
      <c r="AD62" s="291"/>
      <c r="AE62" s="2"/>
    </row>
    <row r="63" spans="1:31">
      <c r="AD63" s="291"/>
      <c r="AE63" s="2"/>
    </row>
    <row r="64" spans="1:31">
      <c r="AD64" s="291"/>
      <c r="AE64" s="2"/>
    </row>
    <row r="65" spans="1:56">
      <c r="AD65" s="291"/>
      <c r="AE65" s="2"/>
    </row>
    <row r="66" spans="1:56">
      <c r="B66" s="17"/>
      <c r="AD66" s="291"/>
      <c r="AE66" s="2"/>
    </row>
    <row r="67" spans="1:56" s="357" customFormat="1">
      <c r="A67" s="272"/>
      <c r="B67" s="276"/>
      <c r="AD67" s="358"/>
    </row>
    <row r="68" spans="1:56" s="19" customFormat="1">
      <c r="A68" s="272"/>
      <c r="B68" s="276"/>
      <c r="AD68" s="291"/>
      <c r="AE68" s="2"/>
    </row>
    <row r="69" spans="1:56" s="19" customFormat="1">
      <c r="A69" s="305"/>
      <c r="B69" s="306"/>
      <c r="C69" s="52"/>
      <c r="D69" s="52"/>
      <c r="E69" s="52"/>
      <c r="F69" s="30"/>
      <c r="G69" s="30"/>
      <c r="H69" s="30"/>
      <c r="I69" s="30"/>
      <c r="J69" s="30"/>
      <c r="K69" s="30"/>
      <c r="L69" s="30"/>
      <c r="M69" s="30"/>
      <c r="N69" s="30"/>
      <c r="O69" s="30"/>
      <c r="P69" s="30"/>
      <c r="Q69" s="30"/>
      <c r="R69" s="30"/>
      <c r="S69" s="30"/>
      <c r="T69" s="30"/>
      <c r="U69" s="30"/>
      <c r="V69" s="30"/>
      <c r="W69" s="30"/>
      <c r="X69" s="30"/>
      <c r="Y69" s="30"/>
      <c r="Z69" s="30"/>
      <c r="AA69" s="30"/>
      <c r="AB69" s="30"/>
      <c r="AC69" s="30"/>
      <c r="AD69" s="291"/>
      <c r="AE69" s="2"/>
      <c r="AF69" s="269"/>
      <c r="AP69" s="269"/>
      <c r="AQ69" s="269"/>
      <c r="AR69" s="269"/>
      <c r="AS69" s="269"/>
      <c r="AT69" s="269"/>
      <c r="AU69" s="269"/>
    </row>
    <row r="70" spans="1:56" s="19" customFormat="1" ht="14.25">
      <c r="A70" s="305"/>
      <c r="B70" s="306"/>
      <c r="C70" s="53"/>
      <c r="D70" s="53"/>
      <c r="E70" s="53"/>
      <c r="F70" s="30"/>
      <c r="G70" s="30"/>
      <c r="H70" s="30"/>
      <c r="I70" s="30"/>
      <c r="J70" s="30"/>
      <c r="K70" s="30"/>
      <c r="L70" s="30"/>
      <c r="M70" s="30"/>
      <c r="N70" s="30"/>
      <c r="O70" s="30"/>
      <c r="P70" s="30"/>
      <c r="Q70" s="30"/>
      <c r="R70" s="30"/>
      <c r="S70" s="30"/>
      <c r="T70" s="30"/>
      <c r="U70" s="30"/>
      <c r="V70" s="30"/>
      <c r="W70" s="30"/>
      <c r="X70" s="30"/>
      <c r="Y70" s="30"/>
      <c r="Z70" s="30"/>
      <c r="AA70" s="30"/>
      <c r="AB70" s="30"/>
      <c r="AC70" s="30"/>
      <c r="AD70" s="291"/>
      <c r="AE70" s="2"/>
      <c r="AF70" s="269"/>
      <c r="AG70" s="269"/>
      <c r="AH70" s="269"/>
      <c r="AI70" s="269"/>
      <c r="AJ70" s="269"/>
      <c r="AK70" s="269"/>
      <c r="AL70" s="269"/>
      <c r="AM70" s="269"/>
      <c r="AO70" s="269"/>
      <c r="AP70" s="269"/>
      <c r="AQ70" s="269"/>
      <c r="AR70" s="269"/>
      <c r="AS70" s="269"/>
      <c r="AT70" s="26"/>
      <c r="AU70" s="359"/>
      <c r="AV70" s="359"/>
      <c r="AW70" s="26"/>
    </row>
    <row r="71" spans="1:56" s="264" customFormat="1">
      <c r="A71" s="252"/>
      <c r="B71" s="254"/>
      <c r="C71" s="509"/>
      <c r="D71" s="509"/>
      <c r="E71" s="509"/>
      <c r="F71" s="509"/>
      <c r="G71" s="206"/>
      <c r="H71" s="54"/>
      <c r="I71" s="54"/>
      <c r="J71" s="54"/>
      <c r="K71" s="54"/>
      <c r="L71" s="360"/>
      <c r="M71" s="360"/>
      <c r="N71" s="54"/>
      <c r="O71" s="54"/>
      <c r="P71" s="54"/>
      <c r="Q71" s="54"/>
      <c r="R71" s="54"/>
      <c r="S71" s="54"/>
      <c r="T71" s="54"/>
      <c r="U71" s="54"/>
      <c r="V71" s="54"/>
      <c r="W71" s="54"/>
      <c r="X71" s="54"/>
      <c r="Y71" s="54"/>
      <c r="Z71" s="54"/>
      <c r="AA71" s="54"/>
      <c r="AB71" s="54"/>
      <c r="AC71" s="54"/>
      <c r="AD71" s="291"/>
      <c r="AE71" s="2"/>
      <c r="AF71" s="269"/>
      <c r="AG71" s="269"/>
      <c r="AH71" s="269"/>
      <c r="AI71" s="269"/>
      <c r="AJ71" s="269"/>
      <c r="AK71" s="269"/>
      <c r="AL71" s="269"/>
      <c r="AM71" s="269"/>
      <c r="AO71" s="269"/>
      <c r="AP71" s="269"/>
      <c r="AQ71" s="269"/>
      <c r="AR71" s="269"/>
      <c r="AT71" s="270"/>
      <c r="AU71" s="359"/>
      <c r="AV71" s="359"/>
      <c r="AW71" s="270"/>
      <c r="BD71" s="269"/>
    </row>
    <row r="72" spans="1:56">
      <c r="B72" s="273"/>
      <c r="C72" s="276"/>
      <c r="D72" s="276"/>
      <c r="E72" s="276"/>
      <c r="F72" s="276"/>
      <c r="G72" s="276"/>
      <c r="H72" s="276"/>
      <c r="I72" s="276"/>
      <c r="J72" s="276"/>
      <c r="L72" s="276"/>
      <c r="M72" s="276"/>
      <c r="N72" s="276"/>
      <c r="O72" s="276"/>
      <c r="P72" s="276"/>
      <c r="Q72" s="276"/>
      <c r="R72" s="276"/>
      <c r="S72" s="276"/>
      <c r="T72" s="276"/>
      <c r="U72" s="276"/>
      <c r="V72" s="276"/>
      <c r="W72" s="276"/>
      <c r="X72" s="276"/>
      <c r="Y72" s="276"/>
      <c r="Z72" s="276"/>
      <c r="AA72" s="276"/>
      <c r="AB72" s="276"/>
      <c r="AC72" s="276"/>
      <c r="AD72" s="291"/>
      <c r="AE72" s="2"/>
      <c r="AK72" s="264"/>
      <c r="AT72" s="270"/>
      <c r="AU72" s="359"/>
      <c r="AV72" s="359"/>
      <c r="AW72" s="270"/>
    </row>
    <row r="73" spans="1:56">
      <c r="B73" s="273"/>
      <c r="C73" s="276"/>
      <c r="D73" s="276"/>
      <c r="E73" s="276"/>
      <c r="F73" s="276"/>
      <c r="G73" s="276"/>
      <c r="H73" s="276"/>
      <c r="I73" s="276"/>
      <c r="J73" s="276"/>
      <c r="L73" s="276"/>
      <c r="M73" s="276"/>
      <c r="N73" s="276"/>
      <c r="O73" s="276"/>
      <c r="P73" s="276"/>
      <c r="Q73" s="276"/>
      <c r="R73" s="276"/>
      <c r="S73" s="276"/>
      <c r="T73" s="276"/>
      <c r="U73" s="276"/>
      <c r="V73" s="276"/>
      <c r="W73" s="276"/>
      <c r="X73" s="276"/>
      <c r="Y73" s="276"/>
      <c r="Z73" s="276"/>
      <c r="AA73" s="276"/>
      <c r="AB73" s="276"/>
      <c r="AC73" s="276"/>
      <c r="AD73" s="291"/>
      <c r="AE73" s="2"/>
      <c r="AH73" s="361"/>
      <c r="AK73" s="264"/>
      <c r="AT73" s="270"/>
      <c r="AU73" s="359"/>
      <c r="AV73" s="359"/>
      <c r="AW73" s="270"/>
    </row>
    <row r="74" spans="1:56">
      <c r="B74" s="273"/>
      <c r="C74" s="276"/>
      <c r="D74" s="276"/>
      <c r="E74" s="276"/>
      <c r="F74" s="276"/>
      <c r="G74" s="276"/>
      <c r="H74" s="276"/>
      <c r="I74" s="276"/>
      <c r="J74" s="276"/>
      <c r="L74" s="276"/>
      <c r="M74" s="276"/>
      <c r="N74" s="276"/>
      <c r="O74" s="276"/>
      <c r="P74" s="276"/>
      <c r="Q74" s="276"/>
      <c r="R74" s="276"/>
      <c r="S74" s="276"/>
      <c r="T74" s="276"/>
      <c r="U74" s="276"/>
      <c r="V74" s="276"/>
      <c r="W74" s="276"/>
      <c r="X74" s="276"/>
      <c r="Y74" s="276"/>
      <c r="Z74" s="276"/>
      <c r="AA74" s="276"/>
      <c r="AB74" s="276"/>
      <c r="AC74" s="276"/>
      <c r="AD74" s="291"/>
      <c r="AE74" s="2"/>
      <c r="AH74" s="361"/>
      <c r="AS74" s="363"/>
      <c r="AT74" s="363"/>
      <c r="AU74" s="179"/>
      <c r="AV74" s="364"/>
      <c r="AW74" s="363"/>
      <c r="AX74" s="363"/>
      <c r="BD74" s="268"/>
    </row>
    <row r="75" spans="1:56">
      <c r="B75" s="273"/>
      <c r="C75" s="365"/>
      <c r="D75" s="365"/>
      <c r="E75" s="365"/>
      <c r="F75" s="366"/>
      <c r="G75" s="366"/>
      <c r="H75" s="366"/>
      <c r="I75" s="366"/>
      <c r="J75" s="366"/>
      <c r="K75" s="366"/>
      <c r="L75" s="366"/>
      <c r="M75" s="366"/>
      <c r="N75" s="366"/>
      <c r="O75" s="276"/>
      <c r="P75" s="276"/>
      <c r="Q75" s="276"/>
      <c r="R75" s="276"/>
      <c r="S75" s="276"/>
      <c r="T75" s="276"/>
      <c r="U75" s="366"/>
      <c r="V75" s="366"/>
      <c r="W75" s="366"/>
      <c r="X75" s="276"/>
      <c r="Y75" s="276"/>
      <c r="Z75" s="276"/>
      <c r="AA75" s="276"/>
      <c r="AB75" s="276"/>
      <c r="AC75" s="276"/>
      <c r="AD75" s="291"/>
      <c r="AE75" s="2"/>
      <c r="AG75" s="345"/>
      <c r="AH75" s="345"/>
      <c r="AI75" s="345"/>
      <c r="AJ75" s="345"/>
      <c r="AK75" s="345"/>
      <c r="AL75" s="345"/>
      <c r="AM75" s="345"/>
      <c r="AN75" s="345"/>
      <c r="AO75" s="345"/>
      <c r="AS75" s="367"/>
      <c r="AT75" s="363"/>
      <c r="AU75" s="363"/>
      <c r="AV75" s="363"/>
      <c r="AW75" s="363"/>
      <c r="AX75" s="363"/>
      <c r="BD75" s="268"/>
    </row>
    <row r="76" spans="1:56" ht="12.75" customHeight="1">
      <c r="B76" s="273"/>
      <c r="AD76" s="291"/>
      <c r="AE76" s="2"/>
      <c r="AH76" s="361"/>
      <c r="AS76" s="363"/>
      <c r="AT76" s="363"/>
      <c r="AU76" s="363" t="s">
        <v>206</v>
      </c>
      <c r="AV76" s="363"/>
      <c r="AW76" s="363"/>
      <c r="AX76" s="363"/>
      <c r="BD76" s="268"/>
    </row>
    <row r="77" spans="1:56">
      <c r="B77" s="273"/>
      <c r="AD77" s="291"/>
      <c r="AE77" s="2"/>
      <c r="AG77" s="19"/>
      <c r="AH77" s="368"/>
      <c r="AI77" s="368"/>
      <c r="AO77" s="19"/>
      <c r="AP77" s="368"/>
      <c r="AQ77" s="368"/>
      <c r="AS77" s="363"/>
      <c r="AT77" s="363"/>
      <c r="AU77" s="363"/>
      <c r="AV77" s="363"/>
      <c r="AW77" s="363"/>
      <c r="AX77" s="363"/>
      <c r="BD77" s="268"/>
    </row>
    <row r="78" spans="1:56" ht="12.75" customHeight="1">
      <c r="B78" s="273"/>
      <c r="AD78" s="291"/>
      <c r="AE78" s="2"/>
      <c r="AH78" s="361"/>
      <c r="AS78" s="363"/>
      <c r="AT78" s="363"/>
      <c r="AU78" s="372" t="s">
        <v>0</v>
      </c>
      <c r="AV78" s="372" t="s">
        <v>1</v>
      </c>
      <c r="AW78" s="363"/>
      <c r="AX78" s="363"/>
      <c r="BD78" s="268"/>
    </row>
    <row r="79" spans="1:56">
      <c r="AD79" s="291"/>
      <c r="AE79" s="2"/>
      <c r="AH79" s="361"/>
      <c r="AK79" s="370"/>
      <c r="AS79" s="363"/>
      <c r="AT79" s="363"/>
      <c r="AU79" s="372">
        <f>MATCH(E19,BA83:BA87,0)</f>
        <v>4</v>
      </c>
      <c r="AV79" s="374">
        <f>MATCH(H19,BA83:BA87,0)</f>
        <v>5</v>
      </c>
      <c r="AW79" s="363"/>
      <c r="AX79" s="363"/>
    </row>
    <row r="80" spans="1:56" ht="15" thickBot="1">
      <c r="C80" s="30" t="s">
        <v>162</v>
      </c>
      <c r="D80" s="280"/>
      <c r="E80" s="344"/>
      <c r="J80" s="345"/>
      <c r="K80" s="346"/>
      <c r="L80" s="345"/>
      <c r="M80" s="43"/>
      <c r="N80" s="345"/>
      <c r="O80" s="43"/>
      <c r="P80" s="345"/>
      <c r="Q80" s="345"/>
      <c r="R80" s="345"/>
      <c r="S80" s="345"/>
      <c r="T80" s="345"/>
      <c r="U80" s="345"/>
      <c r="V80" s="345"/>
      <c r="W80" s="345"/>
      <c r="X80" s="345"/>
      <c r="Y80" s="345"/>
      <c r="Z80" s="345"/>
      <c r="AA80" s="345"/>
      <c r="AB80" s="345"/>
      <c r="AD80" s="291"/>
      <c r="AE80" s="2"/>
      <c r="AT80" s="270"/>
      <c r="AU80" s="270"/>
      <c r="AV80" s="270"/>
      <c r="AW80" s="270"/>
      <c r="BD80" s="268"/>
    </row>
    <row r="81" spans="1:67" s="4" customFormat="1" ht="14.25">
      <c r="A81" s="305"/>
      <c r="B81" s="19"/>
      <c r="C81" s="30" t="s">
        <v>163</v>
      </c>
      <c r="D81" s="280"/>
      <c r="E81" s="344"/>
      <c r="F81" s="269"/>
      <c r="G81" s="273"/>
      <c r="H81" s="269"/>
      <c r="I81" s="268"/>
      <c r="J81" s="332">
        <f>MAX((F22*$BB$83-J17)*$BB$88*$BC$83,0)</f>
        <v>66</v>
      </c>
      <c r="K81" s="375"/>
      <c r="L81" s="332" t="e">
        <f>MAX(($F$22*0.5-L17)*BB88*BC83,0)</f>
        <v>#VALUE!</v>
      </c>
      <c r="M81" s="376"/>
      <c r="N81" s="332">
        <f ca="1">MAX(($H$22*(0.5*H24)-N17)*BC88,0)</f>
        <v>0</v>
      </c>
      <c r="O81" s="268"/>
      <c r="P81" s="269"/>
      <c r="Q81" s="269"/>
      <c r="R81" s="449" t="e">
        <f ca="1">MAX(($F$22*BB83*IF(F15&lt;$BB95,1,IF(F15&gt;($BB95+BB96),0.6,1-(F15-$BB95)/100))-R17)*BB88*BC83,0)</f>
        <v>#VALUE!</v>
      </c>
      <c r="S81" s="449"/>
      <c r="T81" s="332">
        <f ca="1">MAX(($H$22*(0.5*$H$24)-T17)*BC88,0)</f>
        <v>0</v>
      </c>
      <c r="U81" s="269"/>
      <c r="V81" s="332">
        <f>MAX(($H$22*0.5-V17)*BC88,0)</f>
        <v>23.849999999999998</v>
      </c>
      <c r="W81" s="332"/>
      <c r="X81" s="332">
        <f ca="1">MAX(($H$22*0.5-X17)*BC88,0)</f>
        <v>0</v>
      </c>
      <c r="Y81" s="269"/>
      <c r="Z81" s="269"/>
      <c r="AA81" s="269"/>
      <c r="AB81" s="449">
        <f ca="1">MAX((H22*BB83*IF(H15&lt;$BC95,1,IF(H15&gt;($BC95+BC96),0.6,1-(H15-$BC95)/100))-AB17)*BC88*BC83,0)</f>
        <v>0</v>
      </c>
      <c r="AC81" s="269"/>
      <c r="AD81" s="291"/>
      <c r="AE81" s="2"/>
      <c r="AF81" s="269"/>
      <c r="AG81" s="269"/>
      <c r="AH81" s="269"/>
      <c r="AI81" s="269"/>
      <c r="AJ81" s="269"/>
      <c r="AK81" s="269"/>
      <c r="AL81" s="269"/>
      <c r="AM81" s="269"/>
      <c r="AO81" s="269"/>
      <c r="AP81" s="269"/>
      <c r="AQ81" s="269"/>
      <c r="AR81" s="269"/>
      <c r="AS81" s="269"/>
      <c r="AT81" s="269"/>
      <c r="AU81" s="269"/>
      <c r="AZ81" s="377"/>
      <c r="BA81" s="378"/>
      <c r="BB81" s="379"/>
      <c r="BC81" s="380"/>
      <c r="BD81" s="291"/>
    </row>
    <row r="82" spans="1:67" s="4" customFormat="1" ht="12.75" customHeight="1">
      <c r="A82" s="381"/>
      <c r="C82" s="30" t="s">
        <v>166</v>
      </c>
      <c r="D82" s="280"/>
      <c r="E82" s="344"/>
      <c r="F82" s="269"/>
      <c r="G82" s="273"/>
      <c r="H82" s="269"/>
      <c r="I82" s="268"/>
      <c r="J82" s="332">
        <v>0</v>
      </c>
      <c r="K82" s="375"/>
      <c r="L82" s="332">
        <v>0</v>
      </c>
      <c r="M82" s="376"/>
      <c r="N82" s="332">
        <v>0</v>
      </c>
      <c r="O82" s="268"/>
      <c r="P82" s="269"/>
      <c r="Q82" s="269"/>
      <c r="R82" s="449">
        <v>0</v>
      </c>
      <c r="S82" s="449"/>
      <c r="T82" s="332">
        <v>0</v>
      </c>
      <c r="U82" s="269"/>
      <c r="V82" s="332">
        <v>0</v>
      </c>
      <c r="W82" s="332"/>
      <c r="X82" s="332">
        <v>0</v>
      </c>
      <c r="Y82" s="269"/>
      <c r="Z82" s="269"/>
      <c r="AA82" s="269"/>
      <c r="AB82" s="449">
        <v>0</v>
      </c>
      <c r="AC82" s="269"/>
      <c r="AD82" s="291"/>
      <c r="AE82" s="2"/>
      <c r="AF82" s="269"/>
      <c r="AG82" s="269"/>
      <c r="AH82" s="269"/>
      <c r="AI82" s="269"/>
      <c r="AJ82" s="269"/>
      <c r="AK82" s="269"/>
      <c r="AL82" s="269"/>
      <c r="AM82" s="269"/>
      <c r="AO82" s="269"/>
      <c r="AP82" s="269"/>
      <c r="AQ82" s="269"/>
      <c r="AR82" s="269"/>
      <c r="AS82" s="269"/>
      <c r="AT82" s="269"/>
      <c r="AU82" s="19" t="s">
        <v>169</v>
      </c>
      <c r="AX82" s="19" t="s">
        <v>170</v>
      </c>
      <c r="BA82" s="307" t="s">
        <v>25</v>
      </c>
      <c r="BB82" s="21" t="s">
        <v>178</v>
      </c>
      <c r="BC82" s="308" t="s">
        <v>179</v>
      </c>
      <c r="BD82" s="268"/>
      <c r="BG82" s="19" t="s">
        <v>212</v>
      </c>
      <c r="BH82" s="19" t="s">
        <v>26</v>
      </c>
      <c r="BI82" s="19" t="s">
        <v>213</v>
      </c>
      <c r="BJ82" s="19" t="s">
        <v>26</v>
      </c>
      <c r="BK82" s="19" t="s">
        <v>214</v>
      </c>
      <c r="BL82" s="19" t="s">
        <v>203</v>
      </c>
      <c r="BM82" s="19" t="s">
        <v>201</v>
      </c>
      <c r="BN82" s="19" t="s">
        <v>204</v>
      </c>
      <c r="BO82" s="19" t="s">
        <v>205</v>
      </c>
    </row>
    <row r="83" spans="1:67" s="4" customFormat="1" ht="14.25">
      <c r="A83" s="381"/>
      <c r="C83" s="280" t="s">
        <v>37</v>
      </c>
      <c r="D83" s="280"/>
      <c r="E83" s="344"/>
      <c r="F83" s="269"/>
      <c r="G83" s="273"/>
      <c r="H83" s="269"/>
      <c r="I83" s="268"/>
      <c r="J83" s="332">
        <f>MAX(($F$22*$F$23-J17)*$BB$88*$F$21,0)</f>
        <v>344</v>
      </c>
      <c r="K83" s="375"/>
      <c r="L83" s="332" t="e">
        <f>MAX(($F$22*$F$23-L17)*BB88*$F$21,0)</f>
        <v>#VALUE!</v>
      </c>
      <c r="M83" s="376"/>
      <c r="N83" s="332">
        <f ca="1">MAX(($H$22*$H$23*$H$24-N17)*BC88*$H$21,0)</f>
        <v>0</v>
      </c>
      <c r="O83" s="268"/>
      <c r="P83" s="269"/>
      <c r="Q83" s="269"/>
      <c r="R83" s="332" t="e">
        <f ca="1">MAX(($F$22*$F$24-R17)*BB88*$F$21,0)</f>
        <v>#VALUE!</v>
      </c>
      <c r="S83" s="332"/>
      <c r="T83" s="332">
        <f ca="1">MAX(($H$22*$H$23*$H$24-T17)*BC88*$H$21,0)</f>
        <v>0</v>
      </c>
      <c r="U83" s="269"/>
      <c r="V83" s="332">
        <f>MAX(($H$22*$H$23-V17)*BC88*$H$21,0)</f>
        <v>131.17499999999998</v>
      </c>
      <c r="W83" s="332"/>
      <c r="X83" s="332">
        <f ca="1">MAX(($H$22*$H$23-X17)*BC88*$H$21,0)</f>
        <v>0</v>
      </c>
      <c r="Y83" s="269"/>
      <c r="Z83" s="269"/>
      <c r="AA83" s="269"/>
      <c r="AB83" s="332">
        <f ca="1">MAX(($H$22*$H$24-AB17)*BC88*$H$21,0)</f>
        <v>0</v>
      </c>
      <c r="AC83" s="269"/>
      <c r="AD83" s="291"/>
      <c r="AE83" s="2"/>
      <c r="AF83" s="269"/>
      <c r="AG83" s="450"/>
      <c r="AH83" s="270"/>
      <c r="AI83" s="270"/>
      <c r="AJ83" s="269"/>
      <c r="AK83" s="269"/>
      <c r="AL83" s="269"/>
      <c r="AM83" s="269"/>
      <c r="AO83" s="385"/>
      <c r="AP83" s="270"/>
      <c r="AQ83" s="270"/>
      <c r="AR83" s="269"/>
      <c r="AS83" s="269"/>
      <c r="AT83" s="269"/>
      <c r="AU83" s="386">
        <v>1</v>
      </c>
      <c r="AX83" s="387">
        <v>0.85</v>
      </c>
      <c r="BA83" s="388" t="s">
        <v>163</v>
      </c>
      <c r="BB83" s="268">
        <v>0.5</v>
      </c>
      <c r="BC83" s="302">
        <v>0.55000000000000004</v>
      </c>
      <c r="BG83" s="332">
        <f t="shared" ref="BG83:BG114" ca="1" si="2">IF(BH83&lt;$BC$97,NA(),$V$50)</f>
        <v>314.17499999999995</v>
      </c>
      <c r="BH83" s="385">
        <f ca="1">BC97</f>
        <v>43575</v>
      </c>
      <c r="BI83" s="332">
        <f ca="1">X50</f>
        <v>342.07935374628755</v>
      </c>
      <c r="BJ83" s="385">
        <f ca="1">BH83</f>
        <v>43575</v>
      </c>
      <c r="BK83" s="332">
        <f ca="1">T50</f>
        <v>335.45935374628755</v>
      </c>
      <c r="BL83" s="269"/>
      <c r="BM83" s="269"/>
      <c r="BN83" s="269"/>
      <c r="BO83" s="269"/>
    </row>
    <row r="84" spans="1:67" s="4" customFormat="1" ht="14.25">
      <c r="A84" s="381"/>
      <c r="C84" s="280" t="s">
        <v>164</v>
      </c>
      <c r="D84" s="280"/>
      <c r="E84" s="344"/>
      <c r="F84" s="269"/>
      <c r="G84" s="273"/>
      <c r="H84" s="269"/>
      <c r="I84" s="268"/>
      <c r="J84" s="332">
        <f>MAX(($F$22*$F$23*MAX(BB88,MIN(BB88*2,$F$10))-J17*MIN(BB88,$F$10)),0)</f>
        <v>616</v>
      </c>
      <c r="K84" s="375"/>
      <c r="L84" s="332" t="e">
        <f>MAX(($F$22*$F$23*MAX($BB$88,MIN($BB$88*2,$F$10))-L17*MIN(BB88,$F$10)),0)</f>
        <v>#VALUE!</v>
      </c>
      <c r="M84" s="376"/>
      <c r="N84" s="332">
        <f ca="1">MAX(($H$22*$H$23*H24*MAX(BC88,MIN(BC88*2,$H$10))-N17*MIN(BC88,$H$10)),0)</f>
        <v>0</v>
      </c>
      <c r="O84" s="268"/>
      <c r="P84" s="269"/>
      <c r="Q84" s="269"/>
      <c r="R84" s="449" t="e">
        <f ca="1">MAX(($F$22*$F$24*MAX($BB$88,MIN($BB$88*2,$F$10))-R17*MIN($BB$88,$F$10)),0)</f>
        <v>#VALUE!</v>
      </c>
      <c r="S84" s="449"/>
      <c r="T84" s="332">
        <f ca="1">MAX(($H$22*$H$23*$H$24*MAX(EBC78,MIN(BC88*2,$H$10))-T17*MIN(BC88,$H$10)),0)</f>
        <v>0</v>
      </c>
      <c r="U84" s="269"/>
      <c r="V84" s="332">
        <f>MAX(($H$22*$H$23*MAX(EBC78,MIN(BC88*2,$H$10))-V17*MIN(BC88,$H$10)),0)</f>
        <v>146.70000000000002</v>
      </c>
      <c r="W84" s="332"/>
      <c r="X84" s="332">
        <f ca="1">MAX(($H$22*$H$23*MAX(BC88,MIN(BC88*2,$H$10))-X17*MIN(BC88,$H$10)),0)</f>
        <v>0</v>
      </c>
      <c r="Y84" s="269"/>
      <c r="Z84" s="269"/>
      <c r="AA84" s="269"/>
      <c r="AB84" s="449">
        <f ca="1">MAX((H22*H24*MAX(EBC78,MIN(BC88*2,$H$10))-AB17*MIN(BC88,$H$10)),0)</f>
        <v>0</v>
      </c>
      <c r="AC84" s="269"/>
      <c r="AD84" s="291"/>
      <c r="AE84" s="2"/>
      <c r="AF84" s="269"/>
      <c r="AG84" s="450"/>
      <c r="AH84" s="270"/>
      <c r="AI84" s="270"/>
      <c r="AJ84" s="269"/>
      <c r="AK84" s="269"/>
      <c r="AL84" s="269"/>
      <c r="AM84" s="269"/>
      <c r="AO84" s="385"/>
      <c r="AP84" s="270"/>
      <c r="AQ84" s="270"/>
      <c r="AR84" s="269"/>
      <c r="AS84" s="269"/>
      <c r="AT84" s="269"/>
      <c r="AU84" s="386">
        <v>0.99</v>
      </c>
      <c r="AX84" s="387">
        <v>0.8</v>
      </c>
      <c r="BA84" s="388" t="s">
        <v>182</v>
      </c>
      <c r="BB84" s="389"/>
      <c r="BC84" s="390"/>
      <c r="BD84" s="21"/>
      <c r="BG84" s="332">
        <f t="shared" ca="1" si="2"/>
        <v>314.17499999999995</v>
      </c>
      <c r="BH84" s="385">
        <f ca="1">BH83</f>
        <v>43575</v>
      </c>
      <c r="BI84" s="269">
        <f t="dataTable" ref="BI84:BI218" dt2D="0" dtr="0" r1="H15" ca="1"/>
        <v>435.39275508902966</v>
      </c>
      <c r="BJ84" s="385">
        <f ca="1">BH84</f>
        <v>43575</v>
      </c>
      <c r="BK84" s="269"/>
      <c r="BL84" s="269">
        <f t="shared" ref="BL84:BL115" ca="1" si="3">IF(AND(BH84&gt;=$BB$95,BH84&lt;=$BB$95+$BB$96),1000,0)</f>
        <v>0</v>
      </c>
      <c r="BM84" s="269">
        <f t="shared" ref="BM84:BM115" ca="1" si="4">IF(BH84=$BB$97,1000,0)</f>
        <v>0</v>
      </c>
      <c r="BN84" s="269">
        <f t="shared" ref="BN84:BN115" ca="1" si="5">IF(BH84=$BC$97,1000,0)</f>
        <v>1000</v>
      </c>
      <c r="BO84" s="269">
        <f t="shared" ref="BO84:BO115" ca="1" si="6">IF(AND(BH84&gt;=$BC$95,BH84&lt;=$BC$95+$BC$96),1000,0)</f>
        <v>0</v>
      </c>
    </row>
    <row r="85" spans="1:67" s="4" customFormat="1" ht="14.25">
      <c r="A85" s="381"/>
      <c r="C85" s="280" t="s">
        <v>165</v>
      </c>
      <c r="D85" s="280"/>
      <c r="E85" s="344"/>
      <c r="F85" s="269"/>
      <c r="G85" s="273"/>
      <c r="H85" s="269"/>
      <c r="I85" s="268"/>
      <c r="J85" s="347">
        <f>MAX($F$22*$F$23*$BB$88-J17*MIN(F10,$BB$88),0)</f>
        <v>344</v>
      </c>
      <c r="K85" s="348"/>
      <c r="L85" s="347" t="e">
        <f>MAX($F$22*$F$23*$BB$88-L17*MIN(BB88,$F$10),0)</f>
        <v>#VALUE!</v>
      </c>
      <c r="M85" s="349"/>
      <c r="N85" s="347">
        <f ca="1">MAX($H$22*$H$23*H24*$BC$88-N17*MIN($BC$88,$H$10),0)</f>
        <v>0</v>
      </c>
      <c r="O85" s="268"/>
      <c r="P85" s="269"/>
      <c r="Q85" s="269"/>
      <c r="R85" s="448" t="e">
        <f ca="1">MAX($F$22*$F$24*$BB$88-R17*MIN(BB88,$F$10),0)</f>
        <v>#VALUE!</v>
      </c>
      <c r="S85" s="448"/>
      <c r="T85" s="347">
        <f ca="1">MAX($H$22*$H$23*$H$24*BC88-T17*MIN(BC88,$H$10),0)</f>
        <v>0</v>
      </c>
      <c r="U85" s="269"/>
      <c r="V85" s="347">
        <f>MAX($H$22*$H$23*BC88-V17*MIN(BC88,$H$10),0)</f>
        <v>131.17499999999998</v>
      </c>
      <c r="W85" s="347"/>
      <c r="X85" s="347">
        <f ca="1">MAX($H$22*$H$23*BC88-X17*MIN(BC88,$H$10),0)</f>
        <v>0</v>
      </c>
      <c r="Y85" s="269"/>
      <c r="Z85" s="269"/>
      <c r="AA85" s="269"/>
      <c r="AB85" s="448">
        <f ca="1">MAX(H22*H24*BC88-AB17*MIN(BC88,$H$10),0)</f>
        <v>0</v>
      </c>
      <c r="AC85" s="269"/>
      <c r="AD85" s="291"/>
      <c r="AE85" s="2"/>
      <c r="AF85" s="269"/>
      <c r="AG85" s="450"/>
      <c r="AH85" s="270"/>
      <c r="AI85" s="270"/>
      <c r="AJ85" s="269"/>
      <c r="AK85" s="269"/>
      <c r="AL85" s="269"/>
      <c r="AM85" s="269"/>
      <c r="AO85" s="385"/>
      <c r="AP85" s="270"/>
      <c r="AQ85" s="270"/>
      <c r="AR85" s="269"/>
      <c r="AS85" s="269"/>
      <c r="AT85" s="269"/>
      <c r="AU85" s="386">
        <v>0.98</v>
      </c>
      <c r="AX85" s="387">
        <v>0.75</v>
      </c>
      <c r="BA85" s="391" t="s">
        <v>37</v>
      </c>
      <c r="BB85" s="389"/>
      <c r="BC85" s="390"/>
      <c r="BD85" s="21"/>
      <c r="BG85" s="332">
        <f t="shared" ca="1" si="2"/>
        <v>314.17499999999995</v>
      </c>
      <c r="BH85" s="385">
        <f t="shared" ref="BH85:BH116" ca="1" si="7">BH84+1</f>
        <v>43576</v>
      </c>
      <c r="BI85" s="269">
        <v>436.90894556751476</v>
      </c>
      <c r="BJ85" s="385">
        <f t="shared" ref="BJ85:BJ106" ca="1" si="8">BJ84+1</f>
        <v>43576</v>
      </c>
      <c r="BK85" s="269"/>
      <c r="BL85" s="269">
        <f t="shared" ca="1" si="3"/>
        <v>0</v>
      </c>
      <c r="BM85" s="269">
        <f t="shared" ca="1" si="4"/>
        <v>0</v>
      </c>
      <c r="BN85" s="269">
        <f t="shared" ca="1" si="5"/>
        <v>0</v>
      </c>
      <c r="BO85" s="269">
        <f t="shared" ca="1" si="6"/>
        <v>0</v>
      </c>
    </row>
    <row r="86" spans="1:67" s="4" customFormat="1">
      <c r="A86" s="381"/>
      <c r="C86" s="451"/>
      <c r="D86" s="18"/>
      <c r="E86" s="274"/>
      <c r="F86" s="269"/>
      <c r="G86" s="273"/>
      <c r="H86" s="269"/>
      <c r="I86" s="268"/>
      <c r="J86" s="269"/>
      <c r="K86" s="276"/>
      <c r="L86" s="269"/>
      <c r="M86" s="268"/>
      <c r="N86" s="269"/>
      <c r="O86" s="268"/>
      <c r="P86" s="269"/>
      <c r="Q86" s="269"/>
      <c r="R86" s="269"/>
      <c r="S86" s="269"/>
      <c r="T86" s="269"/>
      <c r="U86" s="269"/>
      <c r="V86" s="269"/>
      <c r="W86" s="269"/>
      <c r="X86" s="269"/>
      <c r="Y86" s="269"/>
      <c r="Z86" s="269"/>
      <c r="AA86" s="269"/>
      <c r="AB86" s="269"/>
      <c r="AC86" s="269"/>
      <c r="AD86" s="291"/>
      <c r="AE86" s="2"/>
      <c r="AF86" s="269"/>
      <c r="AG86" s="450"/>
      <c r="AH86" s="270"/>
      <c r="AI86" s="270"/>
      <c r="AJ86" s="269"/>
      <c r="AK86" s="269"/>
      <c r="AL86" s="269"/>
      <c r="AM86" s="269"/>
      <c r="AO86" s="385"/>
      <c r="AP86" s="270"/>
      <c r="AQ86" s="270"/>
      <c r="AR86" s="269"/>
      <c r="AS86" s="269"/>
      <c r="AT86" s="269"/>
      <c r="AU86" s="386">
        <v>0.97</v>
      </c>
      <c r="AX86" s="387">
        <v>0.7</v>
      </c>
      <c r="BA86" s="388" t="s">
        <v>164</v>
      </c>
      <c r="BB86" s="510" t="s">
        <v>34</v>
      </c>
      <c r="BC86" s="511"/>
      <c r="BD86" s="21"/>
      <c r="BG86" s="332">
        <f t="shared" ca="1" si="2"/>
        <v>314.17499999999995</v>
      </c>
      <c r="BH86" s="385">
        <f t="shared" ca="1" si="7"/>
        <v>43577</v>
      </c>
      <c r="BI86" s="269">
        <v>438.32360544510186</v>
      </c>
      <c r="BJ86" s="385">
        <f t="shared" ca="1" si="8"/>
        <v>43577</v>
      </c>
      <c r="BK86" s="269"/>
      <c r="BL86" s="269">
        <f t="shared" ca="1" si="3"/>
        <v>0</v>
      </c>
      <c r="BM86" s="269">
        <f t="shared" ca="1" si="4"/>
        <v>0</v>
      </c>
      <c r="BN86" s="269">
        <f t="shared" ca="1" si="5"/>
        <v>0</v>
      </c>
      <c r="BO86" s="269">
        <f t="shared" ca="1" si="6"/>
        <v>0</v>
      </c>
    </row>
    <row r="87" spans="1:67" s="4" customFormat="1">
      <c r="A87" s="381"/>
      <c r="C87" s="276"/>
      <c r="D87" s="276"/>
      <c r="E87" s="276"/>
      <c r="F87" s="50"/>
      <c r="G87" s="50"/>
      <c r="H87" s="392"/>
      <c r="I87" s="50"/>
      <c r="J87" s="50"/>
      <c r="K87" s="50"/>
      <c r="L87" s="50"/>
      <c r="M87" s="50"/>
      <c r="N87" s="50"/>
      <c r="O87" s="50"/>
      <c r="P87" s="50"/>
      <c r="Q87" s="50"/>
      <c r="R87" s="50"/>
      <c r="S87" s="50"/>
      <c r="T87" s="50"/>
      <c r="U87" s="50"/>
      <c r="V87" s="50"/>
      <c r="W87" s="50"/>
      <c r="X87" s="50"/>
      <c r="Y87" s="50"/>
      <c r="Z87" s="50"/>
      <c r="AA87" s="50"/>
      <c r="AB87" s="50"/>
      <c r="AC87" s="50"/>
      <c r="AD87" s="291"/>
      <c r="AE87" s="2"/>
      <c r="AF87" s="269"/>
      <c r="AG87" s="450"/>
      <c r="AH87" s="270"/>
      <c r="AI87" s="270"/>
      <c r="AJ87" s="269"/>
      <c r="AK87" s="269"/>
      <c r="AL87" s="269"/>
      <c r="AM87" s="269"/>
      <c r="AO87" s="385"/>
      <c r="AP87" s="270"/>
      <c r="AQ87" s="270"/>
      <c r="AR87" s="269"/>
      <c r="AS87" s="269"/>
      <c r="AT87" s="269"/>
      <c r="AU87" s="386">
        <v>0.96</v>
      </c>
      <c r="AX87" s="387">
        <v>0.65</v>
      </c>
      <c r="BA87" s="393" t="s">
        <v>187</v>
      </c>
      <c r="BB87" s="394" t="s">
        <v>0</v>
      </c>
      <c r="BC87" s="395" t="s">
        <v>1</v>
      </c>
      <c r="BD87" s="21"/>
      <c r="BG87" s="332">
        <f t="shared" ca="1" si="2"/>
        <v>314.17499999999995</v>
      </c>
      <c r="BH87" s="385">
        <f t="shared" ca="1" si="7"/>
        <v>43578</v>
      </c>
      <c r="BI87" s="269">
        <v>439.63673470325767</v>
      </c>
      <c r="BJ87" s="385">
        <f t="shared" ca="1" si="8"/>
        <v>43578</v>
      </c>
      <c r="BK87" s="269"/>
      <c r="BL87" s="269">
        <f t="shared" ca="1" si="3"/>
        <v>0</v>
      </c>
      <c r="BM87" s="269">
        <f t="shared" ca="1" si="4"/>
        <v>0</v>
      </c>
      <c r="BN87" s="269">
        <f t="shared" ca="1" si="5"/>
        <v>0</v>
      </c>
      <c r="BO87" s="269">
        <f t="shared" ca="1" si="6"/>
        <v>0</v>
      </c>
    </row>
    <row r="88" spans="1:67" s="4" customFormat="1" ht="13.5" thickBot="1">
      <c r="A88" s="381"/>
      <c r="C88" s="276"/>
      <c r="D88" s="276"/>
      <c r="E88" s="276"/>
      <c r="F88" s="18"/>
      <c r="G88" s="18"/>
      <c r="I88" s="396"/>
      <c r="J88" s="396"/>
      <c r="K88" s="396"/>
      <c r="L88" s="396"/>
      <c r="M88" s="396"/>
      <c r="N88" s="396"/>
      <c r="O88" s="30"/>
      <c r="P88" s="51"/>
      <c r="Q88" s="51"/>
      <c r="R88" s="30"/>
      <c r="S88" s="30"/>
      <c r="T88" s="30"/>
      <c r="U88" s="30"/>
      <c r="V88" s="30"/>
      <c r="W88" s="30"/>
      <c r="X88" s="30"/>
      <c r="Y88" s="30"/>
      <c r="Z88" s="30"/>
      <c r="AA88" s="30"/>
      <c r="AB88" s="30"/>
      <c r="AC88" s="30"/>
      <c r="AD88" s="291"/>
      <c r="AE88" s="2"/>
      <c r="AF88" s="269"/>
      <c r="AG88" s="450"/>
      <c r="AH88" s="270"/>
      <c r="AI88" s="270"/>
      <c r="AJ88" s="269"/>
      <c r="AK88" s="269"/>
      <c r="AL88" s="269"/>
      <c r="AM88" s="269"/>
      <c r="AO88" s="385"/>
      <c r="AP88" s="270"/>
      <c r="AQ88" s="270"/>
      <c r="AR88" s="269"/>
      <c r="AS88" s="269"/>
      <c r="AT88" s="269"/>
      <c r="AU88" s="386">
        <v>0.95</v>
      </c>
      <c r="AX88" s="387">
        <v>0.6</v>
      </c>
      <c r="BA88" s="397" t="s">
        <v>180</v>
      </c>
      <c r="BB88" s="398">
        <f>Instructions!L17</f>
        <v>4</v>
      </c>
      <c r="BC88" s="398">
        <f>Instructions!M17</f>
        <v>9.5399999999999991</v>
      </c>
      <c r="BD88" s="21"/>
      <c r="BG88" s="332">
        <f t="shared" ca="1" si="2"/>
        <v>314.17499999999995</v>
      </c>
      <c r="BH88" s="385">
        <f t="shared" ca="1" si="7"/>
        <v>43579</v>
      </c>
      <c r="BI88" s="269">
        <v>440.84833330491557</v>
      </c>
      <c r="BJ88" s="385">
        <f t="shared" ca="1" si="8"/>
        <v>43579</v>
      </c>
      <c r="BK88" s="269"/>
      <c r="BL88" s="269">
        <f t="shared" ca="1" si="3"/>
        <v>0</v>
      </c>
      <c r="BM88" s="269">
        <f t="shared" ca="1" si="4"/>
        <v>0</v>
      </c>
      <c r="BN88" s="269">
        <f t="shared" ca="1" si="5"/>
        <v>0</v>
      </c>
      <c r="BO88" s="269">
        <f t="shared" ca="1" si="6"/>
        <v>0</v>
      </c>
    </row>
    <row r="89" spans="1:67" s="4" customFormat="1">
      <c r="A89" s="381"/>
      <c r="C89" s="399"/>
      <c r="D89" s="400"/>
      <c r="E89" s="400"/>
      <c r="F89" s="399"/>
      <c r="G89" s="399"/>
      <c r="H89" s="399"/>
      <c r="I89" s="50"/>
      <c r="J89" s="169"/>
      <c r="K89" s="169"/>
      <c r="L89" s="171"/>
      <c r="M89" s="171"/>
      <c r="N89" s="169"/>
      <c r="O89" s="169"/>
      <c r="P89" s="169"/>
      <c r="Q89" s="169"/>
      <c r="R89" s="170"/>
      <c r="S89" s="170"/>
      <c r="T89" s="169"/>
      <c r="U89" s="50"/>
      <c r="V89" s="169"/>
      <c r="W89" s="169"/>
      <c r="X89" s="169"/>
      <c r="Y89" s="50"/>
      <c r="Z89" s="169"/>
      <c r="AA89" s="169"/>
      <c r="AB89" s="170"/>
      <c r="AC89" s="50"/>
      <c r="AD89" s="291"/>
      <c r="AE89" s="2"/>
      <c r="AF89" s="269"/>
      <c r="AG89" s="450"/>
      <c r="AH89" s="270"/>
      <c r="AI89" s="270"/>
      <c r="AJ89" s="269"/>
      <c r="AK89" s="269"/>
      <c r="AL89" s="269"/>
      <c r="AM89" s="269"/>
      <c r="AO89" s="385"/>
      <c r="AP89" s="270"/>
      <c r="AQ89" s="270"/>
      <c r="AR89" s="269"/>
      <c r="AS89" s="269"/>
      <c r="AT89" s="269"/>
      <c r="AU89" s="386">
        <v>0.94</v>
      </c>
      <c r="AX89" s="387">
        <v>0.55000000000000004</v>
      </c>
      <c r="BA89" s="401"/>
      <c r="BB89" s="402"/>
      <c r="BC89" s="403"/>
      <c r="BD89" s="21"/>
      <c r="BG89" s="332">
        <f t="shared" ca="1" si="2"/>
        <v>314.17499999999995</v>
      </c>
      <c r="BH89" s="385">
        <f t="shared" ca="1" si="7"/>
        <v>43580</v>
      </c>
      <c r="BI89" s="4">
        <v>441.95840132420881</v>
      </c>
      <c r="BJ89" s="385">
        <f t="shared" ca="1" si="8"/>
        <v>43580</v>
      </c>
      <c r="BL89" s="269">
        <f t="shared" ca="1" si="3"/>
        <v>0</v>
      </c>
      <c r="BM89" s="269">
        <f t="shared" ca="1" si="4"/>
        <v>0</v>
      </c>
      <c r="BN89" s="269">
        <f t="shared" ca="1" si="5"/>
        <v>0</v>
      </c>
      <c r="BO89" s="269">
        <f t="shared" ca="1" si="6"/>
        <v>0</v>
      </c>
    </row>
    <row r="90" spans="1:67" s="4" customFormat="1">
      <c r="A90" s="381"/>
      <c r="C90" s="399"/>
      <c r="D90" s="400"/>
      <c r="E90" s="400"/>
      <c r="F90" s="399"/>
      <c r="G90" s="399"/>
      <c r="H90" s="399"/>
      <c r="I90" s="50"/>
      <c r="J90" s="169"/>
      <c r="K90" s="169"/>
      <c r="L90" s="171"/>
      <c r="M90" s="171"/>
      <c r="N90" s="169"/>
      <c r="O90" s="169"/>
      <c r="P90" s="169"/>
      <c r="Q90" s="169"/>
      <c r="R90" s="170"/>
      <c r="S90" s="170"/>
      <c r="T90" s="169"/>
      <c r="U90" s="50"/>
      <c r="V90" s="169"/>
      <c r="W90" s="169"/>
      <c r="X90" s="169"/>
      <c r="Y90" s="50"/>
      <c r="Z90" s="169"/>
      <c r="AA90" s="169"/>
      <c r="AB90" s="170"/>
      <c r="AC90" s="50"/>
      <c r="AD90" s="291"/>
      <c r="AE90" s="2"/>
      <c r="AF90" s="269"/>
      <c r="AG90" s="450"/>
      <c r="AH90" s="270"/>
      <c r="AI90" s="270"/>
      <c r="AJ90" s="269"/>
      <c r="AK90" s="269"/>
      <c r="AL90" s="269"/>
      <c r="AM90" s="269"/>
      <c r="AO90" s="385"/>
      <c r="AP90" s="270"/>
      <c r="AQ90" s="270"/>
      <c r="AR90" s="269"/>
      <c r="AS90" s="269"/>
      <c r="AT90" s="269"/>
      <c r="AU90" s="386">
        <v>0.93</v>
      </c>
      <c r="AX90" s="387">
        <v>0.5</v>
      </c>
      <c r="BA90" s="401"/>
      <c r="BB90" s="402"/>
      <c r="BC90" s="403"/>
      <c r="BD90" s="21"/>
      <c r="BG90" s="332">
        <f t="shared" ca="1" si="2"/>
        <v>314.17499999999995</v>
      </c>
      <c r="BH90" s="385">
        <f t="shared" ca="1" si="7"/>
        <v>43581</v>
      </c>
      <c r="BI90" s="4">
        <v>442.9669387426041</v>
      </c>
      <c r="BJ90" s="385">
        <f t="shared" ca="1" si="8"/>
        <v>43581</v>
      </c>
      <c r="BL90" s="269">
        <f t="shared" ca="1" si="3"/>
        <v>0</v>
      </c>
      <c r="BM90" s="269">
        <f t="shared" ca="1" si="4"/>
        <v>0</v>
      </c>
      <c r="BN90" s="269">
        <f t="shared" ca="1" si="5"/>
        <v>0</v>
      </c>
      <c r="BO90" s="269">
        <f t="shared" ca="1" si="6"/>
        <v>0</v>
      </c>
    </row>
    <row r="91" spans="1:67" s="4" customFormat="1">
      <c r="A91" s="381"/>
      <c r="E91" s="400"/>
      <c r="F91" s="399"/>
      <c r="G91" s="399"/>
      <c r="H91" s="399"/>
      <c r="I91" s="50"/>
      <c r="J91" s="169"/>
      <c r="K91" s="169"/>
      <c r="L91" s="171"/>
      <c r="M91" s="171"/>
      <c r="N91" s="169"/>
      <c r="O91" s="169"/>
      <c r="P91" s="169"/>
      <c r="Q91" s="169"/>
      <c r="R91" s="170"/>
      <c r="S91" s="170"/>
      <c r="T91" s="169"/>
      <c r="U91" s="50"/>
      <c r="V91" s="169"/>
      <c r="W91" s="169"/>
      <c r="X91" s="169"/>
      <c r="Y91" s="50"/>
      <c r="Z91" s="169"/>
      <c r="AA91" s="169"/>
      <c r="AB91" s="170"/>
      <c r="AC91" s="50"/>
      <c r="AD91" s="291"/>
      <c r="AE91" s="2"/>
      <c r="AF91" s="269"/>
      <c r="AG91" s="450"/>
      <c r="AH91" s="270"/>
      <c r="AI91" s="270"/>
      <c r="AJ91" s="269"/>
      <c r="AK91" s="269"/>
      <c r="AL91" s="269"/>
      <c r="AM91" s="269"/>
      <c r="AO91" s="385"/>
      <c r="AP91" s="270"/>
      <c r="AQ91" s="270"/>
      <c r="AR91" s="269"/>
      <c r="AS91" s="269"/>
      <c r="AT91" s="269"/>
      <c r="AU91" s="386">
        <v>0.92</v>
      </c>
      <c r="AX91" s="387"/>
      <c r="BA91" s="401"/>
      <c r="BB91" s="402"/>
      <c r="BC91" s="403"/>
      <c r="BD91" s="21"/>
      <c r="BG91" s="332">
        <f t="shared" ca="1" si="2"/>
        <v>314.17499999999995</v>
      </c>
      <c r="BH91" s="385">
        <f t="shared" ca="1" si="7"/>
        <v>43582</v>
      </c>
      <c r="BI91" s="4">
        <v>443.87394556010145</v>
      </c>
      <c r="BJ91" s="385">
        <f t="shared" ca="1" si="8"/>
        <v>43582</v>
      </c>
      <c r="BL91" s="269">
        <f t="shared" ca="1" si="3"/>
        <v>0</v>
      </c>
      <c r="BM91" s="269">
        <f t="shared" ca="1" si="4"/>
        <v>0</v>
      </c>
      <c r="BN91" s="269">
        <f t="shared" ca="1" si="5"/>
        <v>0</v>
      </c>
      <c r="BO91" s="269">
        <f t="shared" ca="1" si="6"/>
        <v>0</v>
      </c>
    </row>
    <row r="92" spans="1:67" s="4" customFormat="1" ht="15" thickBot="1">
      <c r="A92" s="381"/>
      <c r="E92" s="344"/>
      <c r="F92" s="269"/>
      <c r="G92" s="273"/>
      <c r="H92" s="268"/>
      <c r="I92" s="268"/>
      <c r="J92" s="268"/>
      <c r="K92" s="276"/>
      <c r="L92" s="268"/>
      <c r="M92" s="268"/>
      <c r="N92" s="268"/>
      <c r="O92" s="268"/>
      <c r="P92" s="268"/>
      <c r="Q92" s="169"/>
      <c r="R92" s="170"/>
      <c r="S92" s="170"/>
      <c r="T92" s="169"/>
      <c r="U92" s="50"/>
      <c r="V92" s="169"/>
      <c r="W92" s="169"/>
      <c r="X92" s="169"/>
      <c r="Y92" s="50"/>
      <c r="Z92" s="169"/>
      <c r="AA92" s="169"/>
      <c r="AB92" s="170"/>
      <c r="AC92" s="50"/>
      <c r="AD92" s="291"/>
      <c r="AE92" s="2"/>
      <c r="AF92" s="269"/>
      <c r="AG92" s="450"/>
      <c r="AH92" s="270"/>
      <c r="AI92" s="270"/>
      <c r="AJ92" s="269"/>
      <c r="AK92" s="269"/>
      <c r="AL92" s="269"/>
      <c r="AM92" s="269"/>
      <c r="AO92" s="385"/>
      <c r="AP92" s="270"/>
      <c r="AQ92" s="270"/>
      <c r="AR92" s="269"/>
      <c r="AS92" s="269"/>
      <c r="AT92" s="269"/>
      <c r="AU92" s="386">
        <v>0.91</v>
      </c>
      <c r="AX92" s="387"/>
      <c r="BA92" s="269"/>
      <c r="BB92" s="269"/>
      <c r="BC92" s="269"/>
      <c r="BD92" s="21"/>
      <c r="BG92" s="332">
        <f t="shared" ca="1" si="2"/>
        <v>314.17499999999995</v>
      </c>
      <c r="BH92" s="385">
        <f t="shared" ca="1" si="7"/>
        <v>43583</v>
      </c>
      <c r="BI92" s="4">
        <v>444.67942175816745</v>
      </c>
      <c r="BJ92" s="385">
        <f t="shared" ca="1" si="8"/>
        <v>43583</v>
      </c>
      <c r="BL92" s="269">
        <f t="shared" ca="1" si="3"/>
        <v>0</v>
      </c>
      <c r="BM92" s="269">
        <f t="shared" ca="1" si="4"/>
        <v>0</v>
      </c>
      <c r="BN92" s="269">
        <f t="shared" ca="1" si="5"/>
        <v>0</v>
      </c>
      <c r="BO92" s="269">
        <f t="shared" ca="1" si="6"/>
        <v>0</v>
      </c>
    </row>
    <row r="93" spans="1:67" s="4" customFormat="1" ht="14.25">
      <c r="A93" s="381"/>
      <c r="E93" s="344"/>
      <c r="F93" s="269"/>
      <c r="G93" s="273"/>
      <c r="H93" s="268"/>
      <c r="I93" s="268"/>
      <c r="J93" s="268"/>
      <c r="K93" s="276"/>
      <c r="L93" s="268"/>
      <c r="M93" s="268"/>
      <c r="N93" s="268"/>
      <c r="O93" s="268"/>
      <c r="P93" s="268"/>
      <c r="Q93" s="169"/>
      <c r="R93" s="170"/>
      <c r="S93" s="170"/>
      <c r="T93" s="169"/>
      <c r="U93" s="50"/>
      <c r="V93" s="169"/>
      <c r="W93" s="169"/>
      <c r="X93" s="169"/>
      <c r="Y93" s="50"/>
      <c r="Z93" s="169"/>
      <c r="AA93" s="169"/>
      <c r="AB93" s="170"/>
      <c r="AC93" s="50"/>
      <c r="AD93" s="291"/>
      <c r="AE93" s="2"/>
      <c r="AF93" s="269"/>
      <c r="AG93" s="450"/>
      <c r="AH93" s="270"/>
      <c r="AI93" s="270"/>
      <c r="AJ93" s="269"/>
      <c r="AK93" s="269"/>
      <c r="AL93" s="269"/>
      <c r="AM93" s="269"/>
      <c r="AO93" s="385"/>
      <c r="AP93" s="270"/>
      <c r="AQ93" s="270"/>
      <c r="AR93" s="269"/>
      <c r="AS93" s="269"/>
      <c r="AT93" s="269"/>
      <c r="AU93" s="386">
        <v>0.9</v>
      </c>
      <c r="AX93" s="387"/>
      <c r="BA93" s="404" t="s">
        <v>13</v>
      </c>
      <c r="BB93" s="405"/>
      <c r="BC93" s="406"/>
      <c r="BD93" s="21"/>
      <c r="BG93" s="332">
        <f t="shared" ca="1" si="2"/>
        <v>314.17499999999995</v>
      </c>
      <c r="BH93" s="385">
        <f t="shared" ca="1" si="7"/>
        <v>43584</v>
      </c>
      <c r="BI93" s="4">
        <v>445.38336733680217</v>
      </c>
      <c r="BJ93" s="385">
        <f t="shared" ca="1" si="8"/>
        <v>43584</v>
      </c>
      <c r="BL93" s="269">
        <f t="shared" ca="1" si="3"/>
        <v>0</v>
      </c>
      <c r="BM93" s="269">
        <f t="shared" ca="1" si="4"/>
        <v>0</v>
      </c>
      <c r="BN93" s="269">
        <f t="shared" ca="1" si="5"/>
        <v>0</v>
      </c>
      <c r="BO93" s="269">
        <f t="shared" ca="1" si="6"/>
        <v>0</v>
      </c>
    </row>
    <row r="94" spans="1:67" s="4" customFormat="1" ht="14.25">
      <c r="A94" s="381"/>
      <c r="E94" s="344"/>
      <c r="F94" s="269"/>
      <c r="G94" s="273"/>
      <c r="H94" s="268"/>
      <c r="I94" s="268"/>
      <c r="J94" s="47"/>
      <c r="K94" s="36"/>
      <c r="L94" s="180"/>
      <c r="M94" s="180"/>
      <c r="N94" s="180"/>
      <c r="O94" s="268"/>
      <c r="P94" s="268"/>
      <c r="Q94" s="169"/>
      <c r="R94" s="170"/>
      <c r="S94" s="170"/>
      <c r="T94" s="169"/>
      <c r="U94" s="50"/>
      <c r="V94" s="169"/>
      <c r="W94" s="169"/>
      <c r="X94" s="169"/>
      <c r="Y94" s="50"/>
      <c r="Z94" s="169"/>
      <c r="AA94" s="169"/>
      <c r="AB94" s="170"/>
      <c r="AC94" s="50"/>
      <c r="AD94" s="291"/>
      <c r="AE94" s="2"/>
      <c r="AF94" s="269"/>
      <c r="AG94" s="450"/>
      <c r="AH94" s="270"/>
      <c r="AI94" s="270"/>
      <c r="AJ94" s="269"/>
      <c r="AK94" s="269"/>
      <c r="AL94" s="269"/>
      <c r="AM94" s="269"/>
      <c r="AO94" s="385"/>
      <c r="AP94" s="270"/>
      <c r="AQ94" s="270"/>
      <c r="AR94" s="269"/>
      <c r="AS94" s="269"/>
      <c r="AT94" s="269"/>
      <c r="AU94" s="386">
        <v>0.89</v>
      </c>
      <c r="AX94" s="387"/>
      <c r="BA94" s="301"/>
      <c r="BB94" s="43" t="s">
        <v>0</v>
      </c>
      <c r="BC94" s="407" t="s">
        <v>1</v>
      </c>
      <c r="BD94" s="21"/>
      <c r="BG94" s="332">
        <f t="shared" ca="1" si="2"/>
        <v>314.17499999999995</v>
      </c>
      <c r="BH94" s="385">
        <f t="shared" ca="1" si="7"/>
        <v>43585</v>
      </c>
      <c r="BI94" s="4">
        <v>445.98578229600565</v>
      </c>
      <c r="BJ94" s="385">
        <f t="shared" ca="1" si="8"/>
        <v>43585</v>
      </c>
      <c r="BL94" s="269">
        <f t="shared" ca="1" si="3"/>
        <v>0</v>
      </c>
      <c r="BM94" s="269">
        <f t="shared" ca="1" si="4"/>
        <v>0</v>
      </c>
      <c r="BN94" s="269">
        <f t="shared" ca="1" si="5"/>
        <v>0</v>
      </c>
      <c r="BO94" s="269">
        <f t="shared" ca="1" si="6"/>
        <v>0</v>
      </c>
    </row>
    <row r="95" spans="1:67" s="4" customFormat="1" ht="14.25">
      <c r="A95" s="381"/>
      <c r="E95" s="344"/>
      <c r="F95" s="269"/>
      <c r="G95" s="273"/>
      <c r="H95" s="268"/>
      <c r="I95" s="268"/>
      <c r="J95" s="268"/>
      <c r="K95" s="276"/>
      <c r="L95" s="268"/>
      <c r="M95" s="268"/>
      <c r="N95" s="268"/>
      <c r="O95" s="268"/>
      <c r="P95" s="268"/>
      <c r="Q95" s="169"/>
      <c r="R95" s="170"/>
      <c r="S95" s="170"/>
      <c r="T95" s="169"/>
      <c r="U95" s="50"/>
      <c r="V95" s="169"/>
      <c r="W95" s="169"/>
      <c r="X95" s="169"/>
      <c r="Y95" s="50"/>
      <c r="Z95" s="169"/>
      <c r="AA95" s="169"/>
      <c r="AB95" s="170"/>
      <c r="AC95" s="50"/>
      <c r="AD95" s="291"/>
      <c r="AE95" s="2"/>
      <c r="AF95" s="269"/>
      <c r="AG95" s="450"/>
      <c r="AH95" s="270"/>
      <c r="AI95" s="270"/>
      <c r="AJ95" s="269"/>
      <c r="AK95" s="269"/>
      <c r="AL95" s="269"/>
      <c r="AM95" s="269"/>
      <c r="AO95" s="385"/>
      <c r="AP95" s="270"/>
      <c r="AQ95" s="270"/>
      <c r="AR95" s="269"/>
      <c r="AS95" s="269"/>
      <c r="AT95" s="269"/>
      <c r="AU95" s="386">
        <v>0.88</v>
      </c>
      <c r="AX95" s="387"/>
      <c r="BA95" s="283" t="s">
        <v>207</v>
      </c>
      <c r="BB95" s="408">
        <f ca="1">VLOOKUP(D6,RMAData!A3:D117,3)</f>
        <v>43616</v>
      </c>
      <c r="BC95" s="409">
        <f ca="1">VLOOKUP(D6,RMAData!A3:D117,4)</f>
        <v>43636</v>
      </c>
      <c r="BD95" s="21"/>
      <c r="BG95" s="332">
        <f t="shared" ca="1" si="2"/>
        <v>314.17499999999995</v>
      </c>
      <c r="BH95" s="385">
        <f t="shared" ca="1" si="7"/>
        <v>43586</v>
      </c>
      <c r="BI95" s="4">
        <v>446.48666665431114</v>
      </c>
      <c r="BJ95" s="385">
        <f t="shared" ca="1" si="8"/>
        <v>43586</v>
      </c>
      <c r="BL95" s="269">
        <f t="shared" ca="1" si="3"/>
        <v>0</v>
      </c>
      <c r="BM95" s="269">
        <f t="shared" ca="1" si="4"/>
        <v>0</v>
      </c>
      <c r="BN95" s="269">
        <f t="shared" ca="1" si="5"/>
        <v>0</v>
      </c>
      <c r="BO95" s="269">
        <f t="shared" ca="1" si="6"/>
        <v>0</v>
      </c>
    </row>
    <row r="96" spans="1:67" s="4" customFormat="1">
      <c r="A96" s="381"/>
      <c r="E96" s="400"/>
      <c r="F96" s="399"/>
      <c r="G96" s="399"/>
      <c r="H96" s="399"/>
      <c r="I96" s="50"/>
      <c r="J96" s="169"/>
      <c r="K96" s="169"/>
      <c r="L96" s="171"/>
      <c r="M96" s="171"/>
      <c r="N96" s="169"/>
      <c r="O96" s="169"/>
      <c r="P96" s="169"/>
      <c r="Q96" s="169"/>
      <c r="R96" s="170"/>
      <c r="S96" s="170"/>
      <c r="T96" s="169"/>
      <c r="U96" s="50"/>
      <c r="V96" s="169"/>
      <c r="W96" s="169"/>
      <c r="X96" s="169"/>
      <c r="Y96" s="50"/>
      <c r="Z96" s="169"/>
      <c r="AA96" s="169"/>
      <c r="AB96" s="170"/>
      <c r="AC96" s="50"/>
      <c r="AD96" s="291"/>
      <c r="AE96" s="2"/>
      <c r="AF96" s="269"/>
      <c r="AG96" s="450"/>
      <c r="AH96" s="270"/>
      <c r="AI96" s="270"/>
      <c r="AJ96" s="269"/>
      <c r="AK96" s="269"/>
      <c r="AL96" s="269"/>
      <c r="AM96" s="269"/>
      <c r="AO96" s="385"/>
      <c r="AP96" s="270"/>
      <c r="AQ96" s="270"/>
      <c r="AR96" s="269"/>
      <c r="AS96" s="269"/>
      <c r="AT96" s="269"/>
      <c r="AU96" s="386">
        <v>0.87</v>
      </c>
      <c r="AX96" s="387"/>
      <c r="BA96" s="410" t="s">
        <v>257</v>
      </c>
      <c r="BB96" s="402">
        <v>20</v>
      </c>
      <c r="BC96" s="411">
        <v>25</v>
      </c>
      <c r="BD96" s="21"/>
      <c r="BG96" s="332">
        <f t="shared" ca="1" si="2"/>
        <v>314.17499999999995</v>
      </c>
      <c r="BH96" s="385">
        <f t="shared" ca="1" si="7"/>
        <v>43587</v>
      </c>
      <c r="BI96" s="4">
        <v>446.88602041171862</v>
      </c>
      <c r="BJ96" s="385">
        <f t="shared" ca="1" si="8"/>
        <v>43587</v>
      </c>
      <c r="BL96" s="269">
        <f t="shared" ca="1" si="3"/>
        <v>0</v>
      </c>
      <c r="BM96" s="269">
        <f t="shared" ca="1" si="4"/>
        <v>0</v>
      </c>
      <c r="BN96" s="269">
        <f t="shared" ca="1" si="5"/>
        <v>0</v>
      </c>
      <c r="BO96" s="269">
        <f t="shared" ca="1" si="6"/>
        <v>0</v>
      </c>
    </row>
    <row r="97" spans="1:67" s="4" customFormat="1" ht="13.5" thickBot="1">
      <c r="A97" s="381"/>
      <c r="C97" s="399"/>
      <c r="D97" s="400"/>
      <c r="E97" s="400"/>
      <c r="F97" s="399"/>
      <c r="G97" s="399"/>
      <c r="H97" s="399"/>
      <c r="I97" s="50"/>
      <c r="J97" s="169"/>
      <c r="K97" s="169"/>
      <c r="L97" s="171"/>
      <c r="M97" s="171"/>
      <c r="N97" s="169"/>
      <c r="O97" s="169"/>
      <c r="P97" s="169"/>
      <c r="Q97" s="169"/>
      <c r="R97" s="170"/>
      <c r="S97" s="170"/>
      <c r="T97" s="169"/>
      <c r="U97" s="50"/>
      <c r="V97" s="169"/>
      <c r="W97" s="169"/>
      <c r="X97" s="169"/>
      <c r="Y97" s="50"/>
      <c r="Z97" s="169"/>
      <c r="AA97" s="169"/>
      <c r="AB97" s="170"/>
      <c r="AC97" s="50"/>
      <c r="AD97" s="291"/>
      <c r="AE97" s="2"/>
      <c r="AF97" s="269"/>
      <c r="AG97" s="450"/>
      <c r="AH97" s="270"/>
      <c r="AI97" s="270"/>
      <c r="AJ97" s="269"/>
      <c r="AK97" s="269"/>
      <c r="AL97" s="269"/>
      <c r="AM97" s="269"/>
      <c r="AO97" s="385"/>
      <c r="AP97" s="270"/>
      <c r="AQ97" s="270"/>
      <c r="AR97" s="269"/>
      <c r="AS97" s="269"/>
      <c r="AT97" s="269"/>
      <c r="AU97" s="386">
        <v>0.86</v>
      </c>
      <c r="AX97" s="387"/>
      <c r="BA97" s="412" t="s">
        <v>200</v>
      </c>
      <c r="BB97" s="463">
        <f ca="1">VLOOKUP(D6,RMAData!A3:F117,5)</f>
        <v>43560</v>
      </c>
      <c r="BC97" s="464">
        <f ca="1">VLOOKUP(D6,RMAData!A3:F117,6)</f>
        <v>43575</v>
      </c>
      <c r="BD97" s="21"/>
      <c r="BG97" s="332">
        <f t="shared" ca="1" si="2"/>
        <v>314.17499999999995</v>
      </c>
      <c r="BH97" s="385">
        <f t="shared" ca="1" si="7"/>
        <v>43588</v>
      </c>
      <c r="BI97" s="4">
        <v>447.18384353116153</v>
      </c>
      <c r="BJ97" s="385">
        <f t="shared" ca="1" si="8"/>
        <v>43588</v>
      </c>
      <c r="BL97" s="269">
        <f t="shared" ca="1" si="3"/>
        <v>0</v>
      </c>
      <c r="BM97" s="269">
        <f t="shared" ca="1" si="4"/>
        <v>0</v>
      </c>
      <c r="BN97" s="269">
        <f t="shared" ca="1" si="5"/>
        <v>0</v>
      </c>
      <c r="BO97" s="269">
        <f t="shared" ca="1" si="6"/>
        <v>0</v>
      </c>
    </row>
    <row r="98" spans="1:67" s="4" customFormat="1">
      <c r="A98" s="381"/>
      <c r="C98" s="399"/>
      <c r="D98" s="400"/>
      <c r="E98" s="400"/>
      <c r="F98" s="399"/>
      <c r="G98" s="399"/>
      <c r="H98" s="399"/>
      <c r="I98" s="50"/>
      <c r="J98" s="169"/>
      <c r="K98" s="169"/>
      <c r="L98" s="171"/>
      <c r="M98" s="171"/>
      <c r="N98" s="169"/>
      <c r="O98" s="169"/>
      <c r="P98" s="169"/>
      <c r="Q98" s="169"/>
      <c r="R98" s="170"/>
      <c r="S98" s="170"/>
      <c r="T98" s="169"/>
      <c r="U98" s="50"/>
      <c r="V98" s="169"/>
      <c r="W98" s="169"/>
      <c r="X98" s="169"/>
      <c r="Y98" s="50"/>
      <c r="Z98" s="169"/>
      <c r="AA98" s="169"/>
      <c r="AB98" s="170"/>
      <c r="AC98" s="50"/>
      <c r="AD98" s="291"/>
      <c r="AE98" s="2"/>
      <c r="AF98" s="269"/>
      <c r="AG98" s="450"/>
      <c r="AH98" s="270"/>
      <c r="AI98" s="270"/>
      <c r="AJ98" s="269"/>
      <c r="AK98" s="269"/>
      <c r="AL98" s="269"/>
      <c r="AM98" s="269"/>
      <c r="AO98" s="385"/>
      <c r="AP98" s="270"/>
      <c r="AQ98" s="270"/>
      <c r="AR98" s="269"/>
      <c r="AS98" s="269"/>
      <c r="AT98" s="269"/>
      <c r="AU98" s="386">
        <v>0.85</v>
      </c>
      <c r="AX98" s="387"/>
      <c r="BA98" s="415"/>
      <c r="BB98" s="416"/>
      <c r="BC98" s="417"/>
      <c r="BD98" s="21"/>
      <c r="BG98" s="332">
        <f t="shared" ca="1" si="2"/>
        <v>314.17499999999995</v>
      </c>
      <c r="BH98" s="385">
        <f t="shared" ca="1" si="7"/>
        <v>43589</v>
      </c>
      <c r="BI98" s="4">
        <v>447.38013604970649</v>
      </c>
      <c r="BJ98" s="385">
        <f t="shared" ca="1" si="8"/>
        <v>43589</v>
      </c>
      <c r="BL98" s="269">
        <f t="shared" ca="1" si="3"/>
        <v>0</v>
      </c>
      <c r="BM98" s="269">
        <f t="shared" ca="1" si="4"/>
        <v>0</v>
      </c>
      <c r="BN98" s="269">
        <f t="shared" ca="1" si="5"/>
        <v>0</v>
      </c>
      <c r="BO98" s="269">
        <f t="shared" ca="1" si="6"/>
        <v>0</v>
      </c>
    </row>
    <row r="99" spans="1:67" s="4" customFormat="1">
      <c r="A99" s="381"/>
      <c r="C99" s="399"/>
      <c r="D99" s="400"/>
      <c r="E99" s="400"/>
      <c r="F99" s="399"/>
      <c r="G99" s="399"/>
      <c r="H99" s="399"/>
      <c r="I99" s="50"/>
      <c r="J99" s="169"/>
      <c r="K99" s="169"/>
      <c r="L99" s="171"/>
      <c r="M99" s="171"/>
      <c r="N99" s="169"/>
      <c r="O99" s="169"/>
      <c r="P99" s="169"/>
      <c r="Q99" s="169"/>
      <c r="R99" s="170"/>
      <c r="S99" s="170"/>
      <c r="T99" s="169"/>
      <c r="U99" s="50"/>
      <c r="V99" s="169"/>
      <c r="W99" s="169"/>
      <c r="X99" s="169"/>
      <c r="Y99" s="50"/>
      <c r="Z99" s="169"/>
      <c r="AA99" s="169"/>
      <c r="AB99" s="170"/>
      <c r="AC99" s="50"/>
      <c r="AD99" s="291"/>
      <c r="AE99" s="2"/>
      <c r="AF99" s="269"/>
      <c r="AG99" s="450"/>
      <c r="AH99" s="270"/>
      <c r="AI99" s="270"/>
      <c r="AJ99" s="269"/>
      <c r="AK99" s="269"/>
      <c r="AL99" s="269"/>
      <c r="AM99" s="269"/>
      <c r="AO99" s="385"/>
      <c r="AP99" s="270"/>
      <c r="AQ99" s="270"/>
      <c r="AR99" s="269"/>
      <c r="AS99" s="269"/>
      <c r="AT99" s="269"/>
      <c r="AU99" s="386">
        <v>0.84</v>
      </c>
      <c r="AX99" s="387"/>
      <c r="BA99" s="401"/>
      <c r="BB99" s="402"/>
      <c r="BC99" s="403"/>
      <c r="BD99" s="21"/>
      <c r="BG99" s="332">
        <f t="shared" ca="1" si="2"/>
        <v>314.17499999999995</v>
      </c>
      <c r="BH99" s="385">
        <f t="shared" ca="1" si="7"/>
        <v>43590</v>
      </c>
      <c r="BI99" s="4">
        <v>447.47489796735346</v>
      </c>
      <c r="BJ99" s="385">
        <f t="shared" ca="1" si="8"/>
        <v>43590</v>
      </c>
      <c r="BL99" s="269">
        <f t="shared" ca="1" si="3"/>
        <v>0</v>
      </c>
      <c r="BM99" s="269">
        <f t="shared" ca="1" si="4"/>
        <v>0</v>
      </c>
      <c r="BN99" s="269">
        <f t="shared" ca="1" si="5"/>
        <v>0</v>
      </c>
      <c r="BO99" s="269">
        <f t="shared" ca="1" si="6"/>
        <v>0</v>
      </c>
    </row>
    <row r="100" spans="1:67" s="4" customFormat="1">
      <c r="A100" s="381"/>
      <c r="C100" s="399"/>
      <c r="D100" s="400"/>
      <c r="E100" s="400"/>
      <c r="F100" s="399"/>
      <c r="G100" s="399"/>
      <c r="H100" s="399"/>
      <c r="I100" s="50"/>
      <c r="J100" s="169"/>
      <c r="K100" s="169"/>
      <c r="L100" s="171"/>
      <c r="M100" s="171"/>
      <c r="N100" s="169"/>
      <c r="O100" s="169"/>
      <c r="P100" s="169"/>
      <c r="Q100" s="169"/>
      <c r="R100" s="170"/>
      <c r="S100" s="170"/>
      <c r="T100" s="169"/>
      <c r="U100" s="50"/>
      <c r="V100" s="169"/>
      <c r="W100" s="169"/>
      <c r="X100" s="169"/>
      <c r="Y100" s="50"/>
      <c r="Z100" s="169"/>
      <c r="AA100" s="169"/>
      <c r="AB100" s="170"/>
      <c r="AC100" s="50"/>
      <c r="AD100" s="291"/>
      <c r="AE100" s="2"/>
      <c r="AF100" s="269"/>
      <c r="AG100" s="450"/>
      <c r="AH100" s="269"/>
      <c r="AI100" s="269"/>
      <c r="AJ100" s="269"/>
      <c r="AK100" s="269"/>
      <c r="AL100" s="269"/>
      <c r="AM100" s="269"/>
      <c r="AO100" s="385"/>
      <c r="AP100" s="270"/>
      <c r="AQ100" s="270"/>
      <c r="AR100" s="269"/>
      <c r="AS100" s="269"/>
      <c r="AT100" s="269"/>
      <c r="AU100" s="386">
        <v>0.83</v>
      </c>
      <c r="AX100" s="387"/>
      <c r="BA100" s="401"/>
      <c r="BB100" s="402"/>
      <c r="BC100" s="403"/>
      <c r="BD100" s="21"/>
      <c r="BG100" s="332">
        <f t="shared" ca="1" si="2"/>
        <v>314.17499999999995</v>
      </c>
      <c r="BH100" s="385">
        <f t="shared" ca="1" si="7"/>
        <v>43591</v>
      </c>
      <c r="BI100" s="4">
        <v>447.46812922850251</v>
      </c>
      <c r="BJ100" s="385">
        <f t="shared" ca="1" si="8"/>
        <v>43591</v>
      </c>
      <c r="BL100" s="269">
        <f t="shared" ca="1" si="3"/>
        <v>0</v>
      </c>
      <c r="BM100" s="269">
        <f t="shared" ca="1" si="4"/>
        <v>0</v>
      </c>
      <c r="BN100" s="269">
        <f t="shared" ca="1" si="5"/>
        <v>0</v>
      </c>
      <c r="BO100" s="269">
        <f t="shared" ca="1" si="6"/>
        <v>0</v>
      </c>
    </row>
    <row r="101" spans="1:67" s="4" customFormat="1">
      <c r="A101" s="381"/>
      <c r="C101" s="383"/>
      <c r="D101" s="457"/>
      <c r="E101" s="457"/>
      <c r="F101" s="421"/>
      <c r="G101" s="421"/>
      <c r="H101" s="55"/>
      <c r="I101" s="50"/>
      <c r="J101" s="23"/>
      <c r="K101" s="23"/>
      <c r="L101" s="23"/>
      <c r="M101" s="23"/>
      <c r="N101" s="23"/>
      <c r="O101" s="50"/>
      <c r="P101" s="458"/>
      <c r="Q101" s="458"/>
      <c r="R101" s="458"/>
      <c r="S101" s="458"/>
      <c r="T101" s="458"/>
      <c r="U101" s="50"/>
      <c r="V101" s="23"/>
      <c r="W101" s="23"/>
      <c r="X101" s="23"/>
      <c r="Y101" s="50"/>
      <c r="Z101" s="23"/>
      <c r="AA101" s="23"/>
      <c r="AB101" s="458"/>
      <c r="AC101" s="50"/>
      <c r="AD101" s="291"/>
      <c r="AE101" s="2"/>
      <c r="AF101" s="269"/>
      <c r="AG101" s="450"/>
      <c r="AH101" s="269"/>
      <c r="AI101" s="269"/>
      <c r="AJ101" s="269"/>
      <c r="AK101" s="269"/>
      <c r="AL101" s="269"/>
      <c r="AM101" s="269"/>
      <c r="AS101" s="269"/>
      <c r="AT101" s="269"/>
      <c r="AU101" s="386">
        <v>0.82</v>
      </c>
      <c r="BD101" s="268"/>
      <c r="BG101" s="332">
        <f t="shared" ca="1" si="2"/>
        <v>314.17499999999995</v>
      </c>
      <c r="BH101" s="385">
        <f t="shared" ca="1" si="7"/>
        <v>43592</v>
      </c>
      <c r="BI101" s="4">
        <v>447.35982990728689</v>
      </c>
      <c r="BJ101" s="385">
        <f t="shared" ca="1" si="8"/>
        <v>43592</v>
      </c>
      <c r="BL101" s="269">
        <f t="shared" ca="1" si="3"/>
        <v>0</v>
      </c>
      <c r="BM101" s="269">
        <f t="shared" ca="1" si="4"/>
        <v>0</v>
      </c>
      <c r="BN101" s="269">
        <f t="shared" ca="1" si="5"/>
        <v>0</v>
      </c>
      <c r="BO101" s="269">
        <f t="shared" ca="1" si="6"/>
        <v>0</v>
      </c>
    </row>
    <row r="102" spans="1:67" s="4" customFormat="1">
      <c r="A102" s="381"/>
      <c r="C102" s="383"/>
      <c r="D102" s="383"/>
      <c r="E102" s="383"/>
      <c r="F102" s="421"/>
      <c r="G102" s="421"/>
      <c r="H102" s="55"/>
      <c r="I102" s="50"/>
      <c r="J102" s="23"/>
      <c r="K102" s="23"/>
      <c r="L102" s="23"/>
      <c r="M102" s="23"/>
      <c r="N102" s="23"/>
      <c r="O102" s="50"/>
      <c r="P102" s="458"/>
      <c r="Q102" s="458"/>
      <c r="R102" s="458"/>
      <c r="S102" s="458"/>
      <c r="T102" s="458"/>
      <c r="U102" s="50"/>
      <c r="V102" s="23"/>
      <c r="W102" s="23"/>
      <c r="X102" s="23"/>
      <c r="Y102" s="50"/>
      <c r="Z102" s="23"/>
      <c r="AA102" s="23"/>
      <c r="AB102" s="458"/>
      <c r="AC102" s="50"/>
      <c r="AD102" s="291"/>
      <c r="AE102" s="2"/>
      <c r="AF102" s="269"/>
      <c r="AG102" s="450"/>
      <c r="AH102" s="269"/>
      <c r="AI102" s="269"/>
      <c r="AJ102" s="269"/>
      <c r="AK102" s="269"/>
      <c r="AL102" s="269"/>
      <c r="AM102" s="269"/>
      <c r="AS102" s="269"/>
      <c r="AT102" s="269"/>
      <c r="AU102" s="386">
        <v>0.81</v>
      </c>
      <c r="BA102" s="345" t="s">
        <v>167</v>
      </c>
      <c r="BB102" s="385" t="str">
        <f>VLOOKUP(D6,RMAData!A3:D117,2)</f>
        <v>Central and North MO</v>
      </c>
      <c r="BD102" s="268"/>
      <c r="BG102" s="332">
        <f t="shared" ca="1" si="2"/>
        <v>314.17499999999995</v>
      </c>
      <c r="BH102" s="385">
        <f t="shared" ca="1" si="7"/>
        <v>43593</v>
      </c>
      <c r="BI102" s="4">
        <v>447.14999998517334</v>
      </c>
      <c r="BJ102" s="385">
        <f t="shared" ca="1" si="8"/>
        <v>43593</v>
      </c>
      <c r="BL102" s="269">
        <f t="shared" ca="1" si="3"/>
        <v>0</v>
      </c>
      <c r="BM102" s="269">
        <f t="shared" ca="1" si="4"/>
        <v>0</v>
      </c>
      <c r="BN102" s="269">
        <f t="shared" ca="1" si="5"/>
        <v>0</v>
      </c>
      <c r="BO102" s="269">
        <f t="shared" ca="1" si="6"/>
        <v>0</v>
      </c>
    </row>
    <row r="103" spans="1:67" s="4" customFormat="1">
      <c r="A103" s="381"/>
      <c r="C103" s="383"/>
      <c r="D103" s="383"/>
      <c r="E103" s="383"/>
      <c r="F103" s="421"/>
      <c r="G103" s="421"/>
      <c r="H103" s="55"/>
      <c r="I103" s="50"/>
      <c r="J103" s="23"/>
      <c r="K103" s="23"/>
      <c r="L103" s="23"/>
      <c r="M103" s="23"/>
      <c r="N103" s="23"/>
      <c r="O103" s="50"/>
      <c r="P103" s="458"/>
      <c r="Q103" s="458"/>
      <c r="R103" s="458"/>
      <c r="S103" s="458"/>
      <c r="T103" s="458"/>
      <c r="U103" s="50"/>
      <c r="V103" s="23"/>
      <c r="W103" s="23"/>
      <c r="X103" s="23"/>
      <c r="Y103" s="50"/>
      <c r="Z103" s="23"/>
      <c r="AA103" s="23"/>
      <c r="AB103" s="458"/>
      <c r="AC103" s="50"/>
      <c r="AD103" s="291"/>
      <c r="AE103" s="2"/>
      <c r="AF103" s="269"/>
      <c r="AG103" s="450"/>
      <c r="AH103" s="269"/>
      <c r="AI103" s="269"/>
      <c r="AJ103" s="269"/>
      <c r="AK103" s="269"/>
      <c r="AL103" s="269"/>
      <c r="AM103" s="269"/>
      <c r="AS103" s="269"/>
      <c r="AT103" s="269"/>
      <c r="AU103" s="386">
        <v>0.8</v>
      </c>
      <c r="BA103" s="268"/>
      <c r="BB103" s="268"/>
      <c r="BC103" s="269"/>
      <c r="BD103" s="269"/>
      <c r="BG103" s="332">
        <f t="shared" ca="1" si="2"/>
        <v>314.17499999999995</v>
      </c>
      <c r="BH103" s="385">
        <f t="shared" ca="1" si="7"/>
        <v>43594</v>
      </c>
      <c r="BI103" s="4">
        <v>446.83863944362849</v>
      </c>
      <c r="BJ103" s="385">
        <f t="shared" ca="1" si="8"/>
        <v>43594</v>
      </c>
      <c r="BL103" s="269">
        <f t="shared" ca="1" si="3"/>
        <v>0</v>
      </c>
      <c r="BM103" s="269">
        <f t="shared" ca="1" si="4"/>
        <v>0</v>
      </c>
      <c r="BN103" s="269">
        <f t="shared" ca="1" si="5"/>
        <v>0</v>
      </c>
      <c r="BO103" s="269">
        <f t="shared" ca="1" si="6"/>
        <v>0</v>
      </c>
    </row>
    <row r="104" spans="1:67" s="4" customFormat="1">
      <c r="A104" s="381"/>
      <c r="C104" s="383"/>
      <c r="D104" s="383"/>
      <c r="E104" s="383"/>
      <c r="F104" s="421"/>
      <c r="G104" s="421"/>
      <c r="H104" s="55"/>
      <c r="I104" s="50"/>
      <c r="J104" s="23"/>
      <c r="K104" s="23"/>
      <c r="L104" s="23"/>
      <c r="M104" s="23"/>
      <c r="N104" s="23"/>
      <c r="O104" s="50"/>
      <c r="P104" s="458"/>
      <c r="Q104" s="458"/>
      <c r="R104" s="458"/>
      <c r="S104" s="458"/>
      <c r="T104" s="458"/>
      <c r="U104" s="50"/>
      <c r="V104" s="23"/>
      <c r="W104" s="23"/>
      <c r="X104" s="23"/>
      <c r="Y104" s="50"/>
      <c r="Z104" s="23"/>
      <c r="AA104" s="23"/>
      <c r="AB104" s="458"/>
      <c r="AC104" s="50"/>
      <c r="AD104" s="291"/>
      <c r="AE104" s="2"/>
      <c r="AF104" s="269"/>
      <c r="AG104" s="450"/>
      <c r="AH104" s="269"/>
      <c r="AI104" s="269"/>
      <c r="AJ104" s="269"/>
      <c r="AK104" s="269"/>
      <c r="AL104" s="269"/>
      <c r="AM104" s="269"/>
      <c r="AS104" s="269"/>
      <c r="AT104" s="269"/>
      <c r="AU104" s="386">
        <v>0.79</v>
      </c>
      <c r="BA104" s="43"/>
      <c r="BB104" s="21" t="s">
        <v>243</v>
      </c>
      <c r="BC104" s="268"/>
      <c r="BD104" s="268"/>
      <c r="BG104" s="332">
        <f t="shared" ca="1" si="2"/>
        <v>314.17499999999995</v>
      </c>
      <c r="BH104" s="385">
        <f t="shared" ca="1" si="7"/>
        <v>43595</v>
      </c>
      <c r="BI104" s="4">
        <v>446.42574828265236</v>
      </c>
      <c r="BJ104" s="385">
        <f t="shared" ca="1" si="8"/>
        <v>43595</v>
      </c>
      <c r="BL104" s="269">
        <f t="shared" ca="1" si="3"/>
        <v>0</v>
      </c>
      <c r="BM104" s="269">
        <f t="shared" ca="1" si="4"/>
        <v>0</v>
      </c>
      <c r="BN104" s="269">
        <f t="shared" ca="1" si="5"/>
        <v>0</v>
      </c>
      <c r="BO104" s="269">
        <f t="shared" ca="1" si="6"/>
        <v>0</v>
      </c>
    </row>
    <row r="105" spans="1:67" s="4" customFormat="1">
      <c r="A105" s="381"/>
      <c r="C105" s="383"/>
      <c r="D105" s="383"/>
      <c r="E105" s="383"/>
      <c r="F105" s="421"/>
      <c r="G105" s="421"/>
      <c r="H105" s="55"/>
      <c r="I105" s="50"/>
      <c r="J105" s="23"/>
      <c r="K105" s="23"/>
      <c r="L105" s="23"/>
      <c r="M105" s="23"/>
      <c r="N105" s="23"/>
      <c r="O105" s="50"/>
      <c r="P105" s="458"/>
      <c r="Q105" s="458"/>
      <c r="R105" s="458"/>
      <c r="S105" s="458"/>
      <c r="T105" s="458"/>
      <c r="U105" s="50"/>
      <c r="V105" s="23"/>
      <c r="W105" s="23"/>
      <c r="X105" s="23"/>
      <c r="Y105" s="50"/>
      <c r="Z105" s="23"/>
      <c r="AA105" s="23"/>
      <c r="AB105" s="458"/>
      <c r="AC105" s="50"/>
      <c r="AD105" s="291"/>
      <c r="AE105" s="2"/>
      <c r="AF105" s="269"/>
      <c r="AG105" s="450"/>
      <c r="AH105" s="269"/>
      <c r="AI105" s="269"/>
      <c r="AJ105" s="269"/>
      <c r="AK105" s="269"/>
      <c r="AL105" s="269"/>
      <c r="AM105" s="269"/>
      <c r="AS105" s="269"/>
      <c r="AT105" s="269"/>
      <c r="AU105" s="386">
        <v>0.78</v>
      </c>
      <c r="BA105" s="418"/>
      <c r="BB105" s="419" t="s">
        <v>0</v>
      </c>
      <c r="BC105" s="21" t="s">
        <v>241</v>
      </c>
      <c r="BD105" s="268"/>
      <c r="BG105" s="332">
        <f t="shared" ca="1" si="2"/>
        <v>314.17499999999995</v>
      </c>
      <c r="BH105" s="385">
        <f t="shared" ca="1" si="7"/>
        <v>43596</v>
      </c>
      <c r="BI105" s="4">
        <v>445.91132652077823</v>
      </c>
      <c r="BJ105" s="385">
        <f t="shared" ca="1" si="8"/>
        <v>43596</v>
      </c>
      <c r="BL105" s="269">
        <f t="shared" ca="1" si="3"/>
        <v>0</v>
      </c>
      <c r="BM105" s="269">
        <f t="shared" ca="1" si="4"/>
        <v>0</v>
      </c>
      <c r="BN105" s="269">
        <f t="shared" ca="1" si="5"/>
        <v>0</v>
      </c>
      <c r="BO105" s="269">
        <f t="shared" ca="1" si="6"/>
        <v>0</v>
      </c>
    </row>
    <row r="106" spans="1:67" s="4" customFormat="1">
      <c r="A106" s="381"/>
      <c r="C106" s="383"/>
      <c r="D106" s="383"/>
      <c r="E106" s="383"/>
      <c r="F106" s="421"/>
      <c r="G106" s="421"/>
      <c r="H106" s="55"/>
      <c r="I106" s="50"/>
      <c r="J106" s="23"/>
      <c r="K106" s="23"/>
      <c r="L106" s="23"/>
      <c r="M106" s="23"/>
      <c r="N106" s="23"/>
      <c r="O106" s="50"/>
      <c r="P106" s="458"/>
      <c r="Q106" s="458"/>
      <c r="R106" s="458"/>
      <c r="S106" s="458"/>
      <c r="T106" s="458"/>
      <c r="U106" s="50"/>
      <c r="V106" s="23"/>
      <c r="W106" s="23"/>
      <c r="X106" s="23"/>
      <c r="Y106" s="50"/>
      <c r="Z106" s="23"/>
      <c r="AA106" s="23"/>
      <c r="AB106" s="458"/>
      <c r="AC106" s="50"/>
      <c r="AD106" s="291"/>
      <c r="AE106" s="2"/>
      <c r="AF106" s="269"/>
      <c r="AG106" s="450"/>
      <c r="AH106" s="269"/>
      <c r="AI106" s="269"/>
      <c r="AJ106" s="269"/>
      <c r="AK106" s="269"/>
      <c r="AL106" s="269"/>
      <c r="AM106" s="269"/>
      <c r="AS106" s="269"/>
      <c r="AT106" s="269"/>
      <c r="AU106" s="386">
        <v>0.77</v>
      </c>
      <c r="BA106" s="345" t="s">
        <v>252</v>
      </c>
      <c r="BB106" s="420">
        <f ca="1">DATE(YEAR(F15)-RMAData!$L$5,MONTH(F15),DAY(F15))</f>
        <v>38139</v>
      </c>
      <c r="BC106" s="420">
        <f ca="1">DATE(YEAR(H15)-RMAData!$L$5,MONTH(H15),DAY(H15))</f>
        <v>41080</v>
      </c>
      <c r="BE106" s="273"/>
      <c r="BG106" s="332">
        <f t="shared" ca="1" si="2"/>
        <v>314.17499999999995</v>
      </c>
      <c r="BH106" s="385">
        <f t="shared" ca="1" si="7"/>
        <v>43597</v>
      </c>
      <c r="BI106" s="4">
        <v>445.29537413947287</v>
      </c>
      <c r="BJ106" s="385">
        <f t="shared" ca="1" si="8"/>
        <v>43597</v>
      </c>
      <c r="BL106" s="269">
        <f t="shared" ca="1" si="3"/>
        <v>0</v>
      </c>
      <c r="BM106" s="269">
        <f t="shared" ca="1" si="4"/>
        <v>0</v>
      </c>
      <c r="BN106" s="269">
        <f t="shared" ca="1" si="5"/>
        <v>0</v>
      </c>
      <c r="BO106" s="269">
        <f t="shared" ca="1" si="6"/>
        <v>0</v>
      </c>
    </row>
    <row r="107" spans="1:67" s="4" customFormat="1" ht="14.25">
      <c r="A107" s="381"/>
      <c r="C107" s="383"/>
      <c r="D107" s="383"/>
      <c r="E107" s="383"/>
      <c r="F107" s="421"/>
      <c r="G107" s="421"/>
      <c r="H107" s="55"/>
      <c r="I107" s="50"/>
      <c r="J107" s="23"/>
      <c r="K107" s="23"/>
      <c r="L107" s="23"/>
      <c r="M107" s="23"/>
      <c r="N107" s="23"/>
      <c r="O107" s="50"/>
      <c r="P107" s="458"/>
      <c r="Q107" s="458"/>
      <c r="R107" s="458"/>
      <c r="S107" s="458"/>
      <c r="T107" s="458"/>
      <c r="U107" s="50"/>
      <c r="V107" s="23"/>
      <c r="W107" s="23"/>
      <c r="X107" s="23"/>
      <c r="Y107" s="50"/>
      <c r="Z107" s="23"/>
      <c r="AA107" s="23"/>
      <c r="AB107" s="458"/>
      <c r="AC107" s="50"/>
      <c r="AD107" s="291"/>
      <c r="AE107" s="2"/>
      <c r="AF107" s="269"/>
      <c r="AG107" s="450"/>
      <c r="AH107" s="269"/>
      <c r="AI107" s="269"/>
      <c r="AJ107" s="269"/>
      <c r="AK107" s="269"/>
      <c r="AL107" s="269"/>
      <c r="AM107" s="269"/>
      <c r="AS107" s="269"/>
      <c r="AT107" s="269"/>
      <c r="AU107" s="386">
        <v>0.76</v>
      </c>
      <c r="BA107" s="19"/>
      <c r="BB107" s="280"/>
      <c r="BC107" s="344"/>
      <c r="BD107" s="269"/>
      <c r="BE107" s="273"/>
      <c r="BG107" s="332">
        <f t="shared" ca="1" si="2"/>
        <v>314.17499999999995</v>
      </c>
      <c r="BH107" s="385">
        <f t="shared" ca="1" si="7"/>
        <v>43598</v>
      </c>
      <c r="BI107" s="4">
        <v>444.57789115726951</v>
      </c>
      <c r="BJ107" s="385">
        <f t="shared" ref="BJ107:BJ138" ca="1" si="9">BH107</f>
        <v>43598</v>
      </c>
      <c r="BL107" s="269">
        <f t="shared" ca="1" si="3"/>
        <v>0</v>
      </c>
      <c r="BM107" s="269">
        <f t="shared" ca="1" si="4"/>
        <v>0</v>
      </c>
      <c r="BN107" s="269">
        <f t="shared" ca="1" si="5"/>
        <v>0</v>
      </c>
      <c r="BO107" s="269">
        <f t="shared" ca="1" si="6"/>
        <v>0</v>
      </c>
    </row>
    <row r="108" spans="1:67" s="4" customFormat="1">
      <c r="A108" s="381"/>
      <c r="C108" s="383"/>
      <c r="D108" s="383"/>
      <c r="E108" s="383"/>
      <c r="F108" s="421"/>
      <c r="G108" s="421"/>
      <c r="H108" s="55"/>
      <c r="I108" s="50"/>
      <c r="J108" s="23"/>
      <c r="K108" s="23"/>
      <c r="L108" s="23"/>
      <c r="M108" s="23"/>
      <c r="N108" s="23"/>
      <c r="O108" s="50"/>
      <c r="P108" s="458"/>
      <c r="Q108" s="458"/>
      <c r="R108" s="458"/>
      <c r="S108" s="458"/>
      <c r="T108" s="458"/>
      <c r="U108" s="50"/>
      <c r="V108" s="23"/>
      <c r="W108" s="23"/>
      <c r="X108" s="23"/>
      <c r="Y108" s="50"/>
      <c r="Z108" s="23"/>
      <c r="AA108" s="23"/>
      <c r="AB108" s="458"/>
      <c r="AC108" s="50"/>
      <c r="AD108" s="291"/>
      <c r="AE108" s="2"/>
      <c r="AF108" s="269"/>
      <c r="AG108" s="450"/>
      <c r="AH108" s="269"/>
      <c r="AI108" s="269"/>
      <c r="AJ108" s="269"/>
      <c r="AK108" s="269"/>
      <c r="AL108" s="269"/>
      <c r="AM108" s="269"/>
      <c r="AS108" s="269"/>
      <c r="AT108" s="269"/>
      <c r="AU108" s="386">
        <v>0.75</v>
      </c>
      <c r="BE108" s="399"/>
      <c r="BG108" s="332">
        <f t="shared" ca="1" si="2"/>
        <v>314.17499999999995</v>
      </c>
      <c r="BH108" s="385">
        <f t="shared" ca="1" si="7"/>
        <v>43599</v>
      </c>
      <c r="BI108" s="4">
        <v>443.75887755563485</v>
      </c>
      <c r="BJ108" s="385">
        <f t="shared" ca="1" si="9"/>
        <v>43599</v>
      </c>
      <c r="BL108" s="269">
        <f t="shared" ca="1" si="3"/>
        <v>0</v>
      </c>
      <c r="BM108" s="269">
        <f t="shared" ca="1" si="4"/>
        <v>0</v>
      </c>
      <c r="BN108" s="269">
        <f t="shared" ca="1" si="5"/>
        <v>0</v>
      </c>
      <c r="BO108" s="269">
        <f t="shared" ca="1" si="6"/>
        <v>0</v>
      </c>
    </row>
    <row r="109" spans="1:67" s="4" customFormat="1">
      <c r="A109" s="381"/>
      <c r="C109" s="383"/>
      <c r="D109" s="383"/>
      <c r="E109" s="383"/>
      <c r="F109" s="421"/>
      <c r="G109" s="421"/>
      <c r="H109" s="55"/>
      <c r="I109" s="50"/>
      <c r="J109" s="23"/>
      <c r="K109" s="23"/>
      <c r="L109" s="23"/>
      <c r="M109" s="23"/>
      <c r="N109" s="23"/>
      <c r="O109" s="50"/>
      <c r="P109" s="458"/>
      <c r="Q109" s="458"/>
      <c r="R109" s="458"/>
      <c r="S109" s="458"/>
      <c r="T109" s="458"/>
      <c r="U109" s="50"/>
      <c r="V109" s="23"/>
      <c r="W109" s="23"/>
      <c r="X109" s="23"/>
      <c r="Y109" s="50"/>
      <c r="Z109" s="23"/>
      <c r="AA109" s="23"/>
      <c r="AB109" s="458"/>
      <c r="AC109" s="50"/>
      <c r="AD109" s="291"/>
      <c r="AE109" s="2"/>
      <c r="AF109" s="269"/>
      <c r="AG109" s="450"/>
      <c r="AH109" s="269"/>
      <c r="AI109" s="269"/>
      <c r="AJ109" s="269"/>
      <c r="AK109" s="269"/>
      <c r="AL109" s="269"/>
      <c r="AM109" s="269"/>
      <c r="AS109" s="269"/>
      <c r="AT109" s="269"/>
      <c r="AU109" s="386">
        <v>0.74</v>
      </c>
      <c r="BA109" s="399"/>
      <c r="BB109" s="422"/>
      <c r="BC109" s="400"/>
      <c r="BD109" s="399"/>
      <c r="BE109" s="399"/>
      <c r="BG109" s="332">
        <f t="shared" ca="1" si="2"/>
        <v>314.17499999999995</v>
      </c>
      <c r="BH109" s="385">
        <f t="shared" ca="1" si="7"/>
        <v>43600</v>
      </c>
      <c r="BI109" s="4">
        <v>442.83833333456892</v>
      </c>
      <c r="BJ109" s="385">
        <f t="shared" ca="1" si="9"/>
        <v>43600</v>
      </c>
      <c r="BL109" s="269">
        <f t="shared" ca="1" si="3"/>
        <v>0</v>
      </c>
      <c r="BM109" s="269">
        <f t="shared" ca="1" si="4"/>
        <v>0</v>
      </c>
      <c r="BN109" s="269">
        <f t="shared" ca="1" si="5"/>
        <v>0</v>
      </c>
      <c r="BO109" s="269">
        <f t="shared" ca="1" si="6"/>
        <v>0</v>
      </c>
    </row>
    <row r="110" spans="1:67" s="4" customFormat="1">
      <c r="A110" s="381"/>
      <c r="C110" s="383"/>
      <c r="D110" s="383"/>
      <c r="E110" s="383"/>
      <c r="F110" s="421"/>
      <c r="G110" s="421"/>
      <c r="H110" s="55"/>
      <c r="I110" s="50"/>
      <c r="J110" s="23"/>
      <c r="K110" s="23"/>
      <c r="L110" s="23"/>
      <c r="M110" s="23"/>
      <c r="N110" s="23"/>
      <c r="O110" s="50"/>
      <c r="P110" s="458"/>
      <c r="Q110" s="458"/>
      <c r="R110" s="458"/>
      <c r="S110" s="458"/>
      <c r="T110" s="458"/>
      <c r="U110" s="50"/>
      <c r="V110" s="23"/>
      <c r="W110" s="23"/>
      <c r="X110" s="23"/>
      <c r="Y110" s="50"/>
      <c r="Z110" s="23"/>
      <c r="AA110" s="23"/>
      <c r="AB110" s="458"/>
      <c r="AC110" s="50"/>
      <c r="AD110" s="291"/>
      <c r="AE110" s="2"/>
      <c r="AF110" s="269"/>
      <c r="AG110" s="450"/>
      <c r="AH110" s="269"/>
      <c r="AI110" s="269"/>
      <c r="AJ110" s="269"/>
      <c r="AK110" s="269"/>
      <c r="AL110" s="269"/>
      <c r="AM110" s="269"/>
      <c r="AS110" s="269"/>
      <c r="AT110" s="269"/>
      <c r="AU110" s="386">
        <v>0.73</v>
      </c>
      <c r="BA110" s="399"/>
      <c r="BB110" s="400"/>
      <c r="BC110" s="400"/>
      <c r="BD110" s="399"/>
      <c r="BE110" s="399"/>
      <c r="BG110" s="332">
        <f t="shared" ca="1" si="2"/>
        <v>314.17499999999995</v>
      </c>
      <c r="BH110" s="385">
        <f t="shared" ca="1" si="7"/>
        <v>43601</v>
      </c>
      <c r="BI110" s="4">
        <v>441.81625851260497</v>
      </c>
      <c r="BJ110" s="385">
        <f t="shared" ca="1" si="9"/>
        <v>43601</v>
      </c>
      <c r="BL110" s="269">
        <f t="shared" ca="1" si="3"/>
        <v>0</v>
      </c>
      <c r="BM110" s="269">
        <f t="shared" ca="1" si="4"/>
        <v>0</v>
      </c>
      <c r="BN110" s="269">
        <f t="shared" ca="1" si="5"/>
        <v>0</v>
      </c>
      <c r="BO110" s="269">
        <f t="shared" ca="1" si="6"/>
        <v>0</v>
      </c>
    </row>
    <row r="111" spans="1:67" s="4" customFormat="1">
      <c r="A111" s="381"/>
      <c r="C111" s="383"/>
      <c r="D111" s="383"/>
      <c r="E111" s="383"/>
      <c r="F111" s="421"/>
      <c r="G111" s="421"/>
      <c r="H111" s="55"/>
      <c r="I111" s="50"/>
      <c r="J111" s="23"/>
      <c r="K111" s="23"/>
      <c r="L111" s="23"/>
      <c r="M111" s="23"/>
      <c r="N111" s="23"/>
      <c r="O111" s="50"/>
      <c r="P111" s="458"/>
      <c r="Q111" s="458"/>
      <c r="R111" s="458"/>
      <c r="S111" s="458"/>
      <c r="T111" s="458"/>
      <c r="U111" s="50"/>
      <c r="V111" s="23"/>
      <c r="W111" s="23"/>
      <c r="X111" s="23"/>
      <c r="Y111" s="50"/>
      <c r="Z111" s="23"/>
      <c r="AA111" s="23"/>
      <c r="AB111" s="458"/>
      <c r="AC111" s="50"/>
      <c r="AF111" s="269"/>
      <c r="AG111" s="450"/>
      <c r="AH111" s="269"/>
      <c r="AI111" s="269"/>
      <c r="AJ111" s="269"/>
      <c r="AK111" s="269"/>
      <c r="AL111" s="269"/>
      <c r="AM111" s="269"/>
      <c r="AS111" s="269"/>
      <c r="AT111" s="269"/>
      <c r="AU111" s="386">
        <v>0.72</v>
      </c>
      <c r="BA111" s="399"/>
      <c r="BB111" s="400"/>
      <c r="BC111" s="400"/>
      <c r="BD111" s="399"/>
      <c r="BE111" s="399"/>
      <c r="BG111" s="332">
        <f t="shared" ca="1" si="2"/>
        <v>314.17499999999995</v>
      </c>
      <c r="BH111" s="385">
        <f t="shared" ca="1" si="7"/>
        <v>43602</v>
      </c>
      <c r="BI111" s="4">
        <v>440.6926530712098</v>
      </c>
      <c r="BJ111" s="385">
        <f t="shared" ca="1" si="9"/>
        <v>43602</v>
      </c>
      <c r="BL111" s="269">
        <f t="shared" ca="1" si="3"/>
        <v>0</v>
      </c>
      <c r="BM111" s="269">
        <f t="shared" ca="1" si="4"/>
        <v>0</v>
      </c>
      <c r="BN111" s="269">
        <f t="shared" ca="1" si="5"/>
        <v>0</v>
      </c>
      <c r="BO111" s="269">
        <f t="shared" ca="1" si="6"/>
        <v>0</v>
      </c>
    </row>
    <row r="112" spans="1:67" s="4" customFormat="1">
      <c r="A112" s="381"/>
      <c r="C112" s="383"/>
      <c r="D112" s="383"/>
      <c r="E112" s="383"/>
      <c r="F112" s="421"/>
      <c r="G112" s="421"/>
      <c r="H112" s="55"/>
      <c r="I112" s="50"/>
      <c r="J112" s="23"/>
      <c r="K112" s="23"/>
      <c r="L112" s="23"/>
      <c r="M112" s="23"/>
      <c r="N112" s="23"/>
      <c r="O112" s="50"/>
      <c r="P112" s="458"/>
      <c r="Q112" s="458"/>
      <c r="R112" s="458"/>
      <c r="S112" s="458"/>
      <c r="T112" s="458"/>
      <c r="U112" s="50"/>
      <c r="V112" s="23"/>
      <c r="W112" s="23"/>
      <c r="X112" s="23"/>
      <c r="Y112" s="50"/>
      <c r="Z112" s="23"/>
      <c r="AA112" s="23"/>
      <c r="AB112" s="458"/>
      <c r="AC112" s="50"/>
      <c r="AF112" s="269"/>
      <c r="AG112" s="450"/>
      <c r="AH112" s="269"/>
      <c r="AI112" s="269"/>
      <c r="AJ112" s="269"/>
      <c r="AK112" s="269"/>
      <c r="AL112" s="269"/>
      <c r="AM112" s="269"/>
      <c r="AS112" s="269"/>
      <c r="AT112" s="269"/>
      <c r="AU112" s="386">
        <v>0.71</v>
      </c>
      <c r="BA112" s="423" t="s">
        <v>254</v>
      </c>
      <c r="BB112" s="400"/>
      <c r="BC112" s="400"/>
      <c r="BD112" s="399"/>
      <c r="BE112" s="399"/>
      <c r="BG112" s="332">
        <f t="shared" ca="1" si="2"/>
        <v>314.17499999999995</v>
      </c>
      <c r="BH112" s="385">
        <f t="shared" ca="1" si="7"/>
        <v>43603</v>
      </c>
      <c r="BI112" s="4">
        <v>439.46751697331666</v>
      </c>
      <c r="BJ112" s="385">
        <f t="shared" ca="1" si="9"/>
        <v>43603</v>
      </c>
      <c r="BL112" s="269">
        <f t="shared" ca="1" si="3"/>
        <v>0</v>
      </c>
      <c r="BM112" s="269">
        <f t="shared" ca="1" si="4"/>
        <v>0</v>
      </c>
      <c r="BN112" s="269">
        <f t="shared" ca="1" si="5"/>
        <v>0</v>
      </c>
      <c r="BO112" s="269">
        <f t="shared" ca="1" si="6"/>
        <v>0</v>
      </c>
    </row>
    <row r="113" spans="1:67" s="4" customFormat="1">
      <c r="A113" s="381"/>
      <c r="C113" s="383"/>
      <c r="D113" s="383"/>
      <c r="E113" s="383"/>
      <c r="F113" s="421"/>
      <c r="G113" s="421"/>
      <c r="H113" s="55"/>
      <c r="I113" s="50"/>
      <c r="J113" s="23"/>
      <c r="K113" s="23"/>
      <c r="L113" s="23"/>
      <c r="M113" s="23"/>
      <c r="N113" s="23"/>
      <c r="O113" s="50"/>
      <c r="P113" s="458"/>
      <c r="Q113" s="458"/>
      <c r="R113" s="458"/>
      <c r="S113" s="458"/>
      <c r="T113" s="458"/>
      <c r="U113" s="50"/>
      <c r="V113" s="23"/>
      <c r="W113" s="23"/>
      <c r="X113" s="23"/>
      <c r="Y113" s="50"/>
      <c r="Z113" s="23"/>
      <c r="AA113" s="23"/>
      <c r="AB113" s="458"/>
      <c r="AC113" s="50"/>
      <c r="AF113" s="269"/>
      <c r="AG113" s="450"/>
      <c r="AH113" s="269"/>
      <c r="AI113" s="269"/>
      <c r="AJ113" s="269"/>
      <c r="AK113" s="269"/>
      <c r="AL113" s="269"/>
      <c r="AM113" s="269"/>
      <c r="AS113" s="269"/>
      <c r="AT113" s="269"/>
      <c r="AU113" s="386">
        <v>0.7</v>
      </c>
      <c r="BA113" s="383"/>
      <c r="BB113" s="424" t="s">
        <v>38</v>
      </c>
      <c r="BC113" s="421"/>
      <c r="BD113" s="200" t="s">
        <v>40</v>
      </c>
      <c r="BG113" s="332">
        <f t="shared" ca="1" si="2"/>
        <v>314.17499999999995</v>
      </c>
      <c r="BH113" s="385">
        <f t="shared" ca="1" si="7"/>
        <v>43604</v>
      </c>
      <c r="BI113" s="4">
        <v>438.1408503115922</v>
      </c>
      <c r="BJ113" s="385">
        <f t="shared" ca="1" si="9"/>
        <v>43604</v>
      </c>
      <c r="BL113" s="269">
        <f t="shared" ca="1" si="3"/>
        <v>0</v>
      </c>
      <c r="BM113" s="269">
        <f t="shared" ca="1" si="4"/>
        <v>0</v>
      </c>
      <c r="BN113" s="269">
        <f t="shared" ca="1" si="5"/>
        <v>0</v>
      </c>
      <c r="BO113" s="269">
        <f t="shared" ca="1" si="6"/>
        <v>0</v>
      </c>
    </row>
    <row r="114" spans="1:67">
      <c r="C114" s="373"/>
      <c r="D114" s="373"/>
      <c r="E114" s="373"/>
      <c r="F114" s="276"/>
      <c r="G114" s="276"/>
      <c r="H114" s="276"/>
      <c r="I114" s="276"/>
      <c r="J114" s="276"/>
      <c r="L114" s="276"/>
      <c r="M114" s="276"/>
      <c r="N114" s="276"/>
      <c r="O114" s="276"/>
      <c r="P114" s="276"/>
      <c r="Q114" s="276"/>
      <c r="R114" s="276"/>
      <c r="S114" s="276"/>
      <c r="T114" s="276"/>
      <c r="U114" s="276"/>
      <c r="V114" s="276"/>
      <c r="W114" s="276"/>
      <c r="X114" s="276"/>
      <c r="Y114" s="276"/>
      <c r="Z114" s="276"/>
      <c r="AA114" s="276"/>
      <c r="AB114" s="276"/>
      <c r="AC114" s="276"/>
      <c r="AG114" s="450"/>
      <c r="AU114" s="386">
        <v>0.69</v>
      </c>
      <c r="BA114" s="424" t="s">
        <v>253</v>
      </c>
      <c r="BB114" s="19" t="s">
        <v>0</v>
      </c>
      <c r="BC114" s="19" t="s">
        <v>241</v>
      </c>
      <c r="BD114" s="19" t="s">
        <v>0</v>
      </c>
      <c r="BE114" s="19" t="s">
        <v>241</v>
      </c>
      <c r="BG114" s="332">
        <f t="shared" ca="1" si="2"/>
        <v>314.17499999999995</v>
      </c>
      <c r="BH114" s="385">
        <f t="shared" ca="1" si="7"/>
        <v>43605</v>
      </c>
      <c r="BI114" s="269">
        <v>436.71265303043651</v>
      </c>
      <c r="BJ114" s="385">
        <f t="shared" ca="1" si="9"/>
        <v>43605</v>
      </c>
      <c r="BL114" s="269">
        <f t="shared" ca="1" si="3"/>
        <v>0</v>
      </c>
      <c r="BM114" s="269">
        <f t="shared" ca="1" si="4"/>
        <v>0</v>
      </c>
      <c r="BN114" s="269">
        <f t="shared" ca="1" si="5"/>
        <v>0</v>
      </c>
      <c r="BO114" s="269">
        <f t="shared" ca="1" si="6"/>
        <v>0</v>
      </c>
    </row>
    <row r="115" spans="1:67">
      <c r="C115" s="276"/>
      <c r="D115" s="276"/>
      <c r="E115" s="276"/>
      <c r="F115" s="276"/>
      <c r="G115" s="276"/>
      <c r="H115" s="276"/>
      <c r="I115" s="276"/>
      <c r="J115" s="276"/>
      <c r="L115" s="276"/>
      <c r="M115" s="276"/>
      <c r="N115" s="276"/>
      <c r="O115" s="276"/>
      <c r="P115" s="276"/>
      <c r="Q115" s="276"/>
      <c r="R115" s="276"/>
      <c r="S115" s="276"/>
      <c r="T115" s="276"/>
      <c r="U115" s="276"/>
      <c r="V115" s="276"/>
      <c r="W115" s="276"/>
      <c r="X115" s="276"/>
      <c r="Y115" s="276"/>
      <c r="Z115" s="276"/>
      <c r="AA115" s="276"/>
      <c r="AB115" s="276"/>
      <c r="AC115" s="276"/>
      <c r="AG115" s="450"/>
      <c r="AU115" s="386">
        <v>0.68</v>
      </c>
      <c r="BA115" s="424" t="s">
        <v>238</v>
      </c>
      <c r="BB115" s="425"/>
      <c r="BC115" s="425">
        <v>-17181786.020406116</v>
      </c>
      <c r="BD115" s="425"/>
      <c r="BE115" s="425">
        <v>-14710355.179590281</v>
      </c>
      <c r="BG115" s="332">
        <f t="shared" ref="BG115:BG146" ca="1" si="10">IF(BH115&lt;$BC$97,NA(),$V$50)</f>
        <v>314.17499999999995</v>
      </c>
      <c r="BH115" s="385">
        <f t="shared" ca="1" si="7"/>
        <v>43606</v>
      </c>
      <c r="BI115" s="269">
        <v>435.18292514838276</v>
      </c>
      <c r="BJ115" s="385">
        <f t="shared" ca="1" si="9"/>
        <v>43606</v>
      </c>
      <c r="BL115" s="269">
        <f t="shared" ca="1" si="3"/>
        <v>0</v>
      </c>
      <c r="BM115" s="269">
        <f t="shared" ca="1" si="4"/>
        <v>0</v>
      </c>
      <c r="BN115" s="269">
        <f t="shared" ca="1" si="5"/>
        <v>0</v>
      </c>
      <c r="BO115" s="269">
        <f t="shared" ca="1" si="6"/>
        <v>0</v>
      </c>
    </row>
    <row r="116" spans="1:67">
      <c r="AG116" s="450"/>
      <c r="AU116" s="386">
        <v>0.67</v>
      </c>
      <c r="BA116" s="424" t="s">
        <v>239</v>
      </c>
      <c r="BB116" s="425"/>
      <c r="BC116" s="425">
        <v>837.43741496588643</v>
      </c>
      <c r="BD116" s="425"/>
      <c r="BE116" s="425">
        <v>716.93910018545284</v>
      </c>
      <c r="BG116" s="332">
        <f t="shared" ca="1" si="10"/>
        <v>314.17499999999995</v>
      </c>
      <c r="BH116" s="385">
        <f t="shared" ca="1" si="7"/>
        <v>43607</v>
      </c>
      <c r="BI116" s="269">
        <v>433.55166664689779</v>
      </c>
      <c r="BJ116" s="385">
        <f t="shared" ca="1" si="9"/>
        <v>43607</v>
      </c>
      <c r="BL116" s="269">
        <f t="shared" ref="BL116:BL147" ca="1" si="11">IF(AND(BH116&gt;=$BB$95,BH116&lt;=$BB$95+$BB$96),1000,0)</f>
        <v>0</v>
      </c>
      <c r="BM116" s="269">
        <f t="shared" ref="BM116:BM147" ca="1" si="12">IF(BH116=$BB$97,1000,0)</f>
        <v>0</v>
      </c>
      <c r="BN116" s="269">
        <f t="shared" ref="BN116:BN147" ca="1" si="13">IF(BH116=$BC$97,1000,0)</f>
        <v>0</v>
      </c>
      <c r="BO116" s="269">
        <f t="shared" ref="BO116:BO147" ca="1" si="14">IF(AND(BH116&gt;=$BC$95,BH116&lt;=$BC$95+$BC$96),1000,0)</f>
        <v>0</v>
      </c>
    </row>
    <row r="117" spans="1:67" ht="13.5" thickBot="1">
      <c r="AG117" s="450"/>
      <c r="AU117" s="386">
        <v>0.66</v>
      </c>
      <c r="BA117" s="424" t="s">
        <v>240</v>
      </c>
      <c r="BB117" s="426"/>
      <c r="BC117" s="426">
        <v>-1.0204081632651843E-2</v>
      </c>
      <c r="BD117" s="426"/>
      <c r="BE117" s="426">
        <v>-8.7353123067399532E-3</v>
      </c>
      <c r="BG117" s="332">
        <f t="shared" ca="1" si="10"/>
        <v>314.17499999999995</v>
      </c>
      <c r="BH117" s="385">
        <f t="shared" ref="BH117:BH148" ca="1" si="15">BH116+1</f>
        <v>43608</v>
      </c>
      <c r="BI117" s="269">
        <v>431.81887754451486</v>
      </c>
      <c r="BJ117" s="385">
        <f t="shared" ca="1" si="9"/>
        <v>43608</v>
      </c>
      <c r="BL117" s="269">
        <f t="shared" ca="1" si="11"/>
        <v>0</v>
      </c>
      <c r="BM117" s="269">
        <f t="shared" ca="1" si="12"/>
        <v>0</v>
      </c>
      <c r="BN117" s="269">
        <f t="shared" ca="1" si="13"/>
        <v>0</v>
      </c>
      <c r="BO117" s="269">
        <f t="shared" ca="1" si="14"/>
        <v>0</v>
      </c>
    </row>
    <row r="118" spans="1:67">
      <c r="AG118" s="450"/>
      <c r="AU118" s="386">
        <v>0.65</v>
      </c>
      <c r="BA118" s="424" t="s">
        <v>242</v>
      </c>
      <c r="BB118" s="386">
        <f ca="1">(BB115+$BB$106*BB116+$BB$106^2*BB117)/100</f>
        <v>0</v>
      </c>
      <c r="BC118" s="386">
        <f ca="1">(BC115+$BC$106*BC116+$BC$106^2*BC117)/100</f>
        <v>0.77680272109806536</v>
      </c>
      <c r="BD118" s="386">
        <f ca="1">(BD115+$BB$106*BD116+$BB$106^2*BD117)/100</f>
        <v>0</v>
      </c>
      <c r="BE118" s="386">
        <f ca="1">(BE115+$BC$106*BE116+$BC$106^2*BE117)/100</f>
        <v>0.83513667281717063</v>
      </c>
      <c r="BG118" s="332">
        <f t="shared" ca="1" si="10"/>
        <v>314.17499999999995</v>
      </c>
      <c r="BH118" s="385">
        <f t="shared" ca="1" si="15"/>
        <v>43609</v>
      </c>
      <c r="BI118" s="269">
        <v>429.98455782270059</v>
      </c>
      <c r="BJ118" s="385">
        <f t="shared" ca="1" si="9"/>
        <v>43609</v>
      </c>
      <c r="BL118" s="269">
        <f t="shared" ca="1" si="11"/>
        <v>0</v>
      </c>
      <c r="BM118" s="269">
        <f t="shared" ca="1" si="12"/>
        <v>0</v>
      </c>
      <c r="BN118" s="269">
        <f t="shared" ca="1" si="13"/>
        <v>0</v>
      </c>
      <c r="BO118" s="269">
        <f t="shared" ca="1" si="14"/>
        <v>0</v>
      </c>
    </row>
    <row r="119" spans="1:67">
      <c r="AG119" s="450"/>
      <c r="AU119" s="386">
        <v>0.64</v>
      </c>
      <c r="BB119" s="425"/>
      <c r="BD119" s="425"/>
      <c r="BG119" s="332">
        <f t="shared" ca="1" si="10"/>
        <v>314.17499999999995</v>
      </c>
      <c r="BH119" s="385">
        <f t="shared" ca="1" si="15"/>
        <v>43610</v>
      </c>
      <c r="BI119" s="269">
        <v>428.04870748145504</v>
      </c>
      <c r="BJ119" s="385">
        <f t="shared" ca="1" si="9"/>
        <v>43610</v>
      </c>
      <c r="BL119" s="269">
        <f t="shared" ca="1" si="11"/>
        <v>0</v>
      </c>
      <c r="BM119" s="269">
        <f t="shared" ca="1" si="12"/>
        <v>0</v>
      </c>
      <c r="BN119" s="269">
        <f t="shared" ca="1" si="13"/>
        <v>0</v>
      </c>
      <c r="BO119" s="269">
        <f t="shared" ca="1" si="14"/>
        <v>0</v>
      </c>
    </row>
    <row r="120" spans="1:67">
      <c r="AG120" s="450"/>
      <c r="AU120" s="386">
        <v>0.63</v>
      </c>
      <c r="BG120" s="332">
        <f t="shared" ca="1" si="10"/>
        <v>314.17499999999995</v>
      </c>
      <c r="BH120" s="385">
        <f t="shared" ca="1" si="15"/>
        <v>43611</v>
      </c>
      <c r="BI120" s="269">
        <v>426.01132652077825</v>
      </c>
      <c r="BJ120" s="385">
        <f t="shared" ca="1" si="9"/>
        <v>43611</v>
      </c>
      <c r="BL120" s="269">
        <f t="shared" ca="1" si="11"/>
        <v>0</v>
      </c>
      <c r="BM120" s="269">
        <f t="shared" ca="1" si="12"/>
        <v>0</v>
      </c>
      <c r="BN120" s="269">
        <f t="shared" ca="1" si="13"/>
        <v>0</v>
      </c>
      <c r="BO120" s="269">
        <f t="shared" ca="1" si="14"/>
        <v>0</v>
      </c>
    </row>
    <row r="121" spans="1:67">
      <c r="AG121" s="450"/>
      <c r="AU121" s="386">
        <v>0.62</v>
      </c>
      <c r="BA121" s="424" t="s">
        <v>251</v>
      </c>
      <c r="BG121" s="332">
        <f t="shared" ca="1" si="10"/>
        <v>314.17499999999995</v>
      </c>
      <c r="BH121" s="385">
        <f t="shared" ca="1" si="15"/>
        <v>43612</v>
      </c>
      <c r="BI121" s="269">
        <v>423.87241495920347</v>
      </c>
      <c r="BJ121" s="385">
        <f t="shared" ca="1" si="9"/>
        <v>43612</v>
      </c>
      <c r="BL121" s="269">
        <f t="shared" ca="1" si="11"/>
        <v>0</v>
      </c>
      <c r="BM121" s="269">
        <f t="shared" ca="1" si="12"/>
        <v>0</v>
      </c>
      <c r="BN121" s="269">
        <f t="shared" ca="1" si="13"/>
        <v>0</v>
      </c>
      <c r="BO121" s="269">
        <f t="shared" ca="1" si="14"/>
        <v>0</v>
      </c>
    </row>
    <row r="122" spans="1:67">
      <c r="AG122" s="450"/>
      <c r="AU122" s="386">
        <v>0.61</v>
      </c>
      <c r="BA122" s="424" t="s">
        <v>255</v>
      </c>
      <c r="BB122" s="427">
        <v>41030</v>
      </c>
      <c r="BC122" s="427">
        <v>41037</v>
      </c>
      <c r="BD122" s="427">
        <v>41000</v>
      </c>
      <c r="BE122" s="427">
        <v>41037</v>
      </c>
      <c r="BG122" s="332">
        <f t="shared" ca="1" si="10"/>
        <v>314.17499999999995</v>
      </c>
      <c r="BH122" s="385">
        <f t="shared" ca="1" si="15"/>
        <v>43613</v>
      </c>
      <c r="BI122" s="269">
        <v>421.63197279673068</v>
      </c>
      <c r="BJ122" s="385">
        <f t="shared" ca="1" si="9"/>
        <v>43613</v>
      </c>
      <c r="BL122" s="269">
        <f t="shared" ca="1" si="11"/>
        <v>0</v>
      </c>
      <c r="BM122" s="269">
        <f t="shared" ca="1" si="12"/>
        <v>0</v>
      </c>
      <c r="BN122" s="269">
        <f t="shared" ca="1" si="13"/>
        <v>0</v>
      </c>
      <c r="BO122" s="269">
        <f t="shared" ca="1" si="14"/>
        <v>0</v>
      </c>
    </row>
    <row r="123" spans="1:67">
      <c r="AG123" s="450"/>
      <c r="AU123" s="386">
        <v>0.6</v>
      </c>
      <c r="BA123" s="424" t="s">
        <v>256</v>
      </c>
      <c r="BB123" s="427">
        <v>41075</v>
      </c>
      <c r="BC123" s="427">
        <v>41100</v>
      </c>
      <c r="BD123" s="427">
        <v>41055</v>
      </c>
      <c r="BE123" s="427">
        <v>41100</v>
      </c>
      <c r="BG123" s="332">
        <f t="shared" ca="1" si="10"/>
        <v>314.17499999999995</v>
      </c>
      <c r="BH123" s="385">
        <f t="shared" ca="1" si="15"/>
        <v>43614</v>
      </c>
      <c r="BI123" s="269">
        <v>419.28999997776003</v>
      </c>
      <c r="BJ123" s="385">
        <f t="shared" ca="1" si="9"/>
        <v>43614</v>
      </c>
      <c r="BL123" s="269">
        <f t="shared" ca="1" si="11"/>
        <v>0</v>
      </c>
      <c r="BM123" s="269">
        <f t="shared" ca="1" si="12"/>
        <v>0</v>
      </c>
      <c r="BN123" s="269">
        <f t="shared" ca="1" si="13"/>
        <v>0</v>
      </c>
      <c r="BO123" s="269">
        <f t="shared" ca="1" si="14"/>
        <v>0</v>
      </c>
    </row>
    <row r="124" spans="1:67">
      <c r="AG124" s="450"/>
      <c r="BA124" s="424" t="s">
        <v>244</v>
      </c>
      <c r="BB124" s="427">
        <f ca="1">DATE(YEAR(BB122)+RMAData!$L$5,MONTH(BB122),DAY(BB122))</f>
        <v>43586</v>
      </c>
      <c r="BC124" s="427">
        <f ca="1">DATE(YEAR(BC122)+RMAData!$L$5,MONTH(BC122),DAY(BC122))</f>
        <v>43593</v>
      </c>
      <c r="BD124" s="427">
        <f ca="1">DATE(YEAR(BD122)+RMAData!$L$5,MONTH(BD122),DAY(BD122))</f>
        <v>43556</v>
      </c>
      <c r="BE124" s="427">
        <f ca="1">DATE(YEAR(BE122)+RMAData!$L$5,MONTH(BE122),DAY(BE122))</f>
        <v>43593</v>
      </c>
      <c r="BG124" s="332">
        <f t="shared" ca="1" si="10"/>
        <v>314.17499999999995</v>
      </c>
      <c r="BH124" s="385">
        <f t="shared" ca="1" si="15"/>
        <v>43615</v>
      </c>
      <c r="BI124" s="269">
        <v>416.84649657642467</v>
      </c>
      <c r="BJ124" s="385">
        <f t="shared" ca="1" si="9"/>
        <v>43615</v>
      </c>
      <c r="BL124" s="269">
        <f t="shared" ca="1" si="11"/>
        <v>0</v>
      </c>
      <c r="BM124" s="269">
        <f t="shared" ca="1" si="12"/>
        <v>0</v>
      </c>
      <c r="BN124" s="269">
        <f t="shared" ca="1" si="13"/>
        <v>0</v>
      </c>
      <c r="BO124" s="269">
        <f t="shared" ca="1" si="14"/>
        <v>0</v>
      </c>
    </row>
    <row r="125" spans="1:67">
      <c r="AG125" s="450"/>
      <c r="BA125" s="424" t="s">
        <v>245</v>
      </c>
      <c r="BB125" s="427">
        <f ca="1">DATE(YEAR(BB123)+RMAData!$L$5,MONTH(BB123),DAY(BB123))</f>
        <v>43631</v>
      </c>
      <c r="BC125" s="427">
        <f ca="1">DATE(YEAR(BC123)+RMAData!$L$5,MONTH(BC123),DAY(BC123))</f>
        <v>43656</v>
      </c>
      <c r="BD125" s="427">
        <f ca="1">DATE(YEAR(BD123)+RMAData!$L$5,MONTH(BD123),DAY(BD123))</f>
        <v>43611</v>
      </c>
      <c r="BE125" s="427">
        <f ca="1">DATE(YEAR(BE123)+RMAData!$L$5,MONTH(BE123),DAY(BE123))</f>
        <v>43656</v>
      </c>
      <c r="BG125" s="332">
        <f t="shared" ca="1" si="10"/>
        <v>314.17499999999995</v>
      </c>
      <c r="BH125" s="385">
        <f t="shared" ca="1" si="15"/>
        <v>43616</v>
      </c>
      <c r="BI125" s="269">
        <v>414.30146255565808</v>
      </c>
      <c r="BJ125" s="385">
        <f t="shared" ca="1" si="9"/>
        <v>43616</v>
      </c>
      <c r="BL125" s="269">
        <f t="shared" ca="1" si="11"/>
        <v>1000</v>
      </c>
      <c r="BM125" s="269">
        <f t="shared" ca="1" si="12"/>
        <v>0</v>
      </c>
      <c r="BN125" s="269">
        <f t="shared" ca="1" si="13"/>
        <v>0</v>
      </c>
      <c r="BO125" s="269">
        <f t="shared" ca="1" si="14"/>
        <v>0</v>
      </c>
    </row>
    <row r="126" spans="1:67">
      <c r="AG126" s="450"/>
      <c r="AO126" s="385"/>
      <c r="BG126" s="332">
        <f t="shared" ca="1" si="10"/>
        <v>314.17499999999995</v>
      </c>
      <c r="BH126" s="385">
        <f t="shared" ca="1" si="15"/>
        <v>43617</v>
      </c>
      <c r="BI126" s="269">
        <v>411.65489793399348</v>
      </c>
      <c r="BJ126" s="385">
        <f t="shared" ca="1" si="9"/>
        <v>43617</v>
      </c>
      <c r="BL126" s="269">
        <f t="shared" ca="1" si="11"/>
        <v>1000</v>
      </c>
      <c r="BM126" s="269">
        <f t="shared" ca="1" si="12"/>
        <v>0</v>
      </c>
      <c r="BN126" s="269">
        <f t="shared" ca="1" si="13"/>
        <v>0</v>
      </c>
      <c r="BO126" s="269">
        <f t="shared" ca="1" si="14"/>
        <v>0</v>
      </c>
    </row>
    <row r="127" spans="1:67">
      <c r="AG127" s="450"/>
      <c r="AO127" s="385"/>
      <c r="BG127" s="332">
        <f t="shared" ca="1" si="10"/>
        <v>314.17499999999995</v>
      </c>
      <c r="BH127" s="385">
        <f t="shared" ca="1" si="15"/>
        <v>43618</v>
      </c>
      <c r="BI127" s="269">
        <v>408.90680271143094</v>
      </c>
      <c r="BJ127" s="385">
        <f t="shared" ca="1" si="9"/>
        <v>43618</v>
      </c>
      <c r="BL127" s="269">
        <f t="shared" ca="1" si="11"/>
        <v>1000</v>
      </c>
      <c r="BM127" s="269">
        <f t="shared" ca="1" si="12"/>
        <v>0</v>
      </c>
      <c r="BN127" s="269">
        <f t="shared" ca="1" si="13"/>
        <v>0</v>
      </c>
      <c r="BO127" s="269">
        <f t="shared" ca="1" si="14"/>
        <v>0</v>
      </c>
    </row>
    <row r="128" spans="1:67">
      <c r="AG128" s="450"/>
      <c r="AO128" s="385"/>
      <c r="BG128" s="332">
        <f t="shared" ca="1" si="10"/>
        <v>314.17499999999995</v>
      </c>
      <c r="BH128" s="385">
        <f t="shared" ca="1" si="15"/>
        <v>43619</v>
      </c>
      <c r="BI128" s="269">
        <v>406.05717685090377</v>
      </c>
      <c r="BJ128" s="385">
        <f t="shared" ca="1" si="9"/>
        <v>43619</v>
      </c>
      <c r="BL128" s="269">
        <f t="shared" ca="1" si="11"/>
        <v>1000</v>
      </c>
      <c r="BM128" s="269">
        <f t="shared" ca="1" si="12"/>
        <v>0</v>
      </c>
      <c r="BN128" s="269">
        <f t="shared" ca="1" si="13"/>
        <v>0</v>
      </c>
      <c r="BO128" s="269">
        <f t="shared" ca="1" si="14"/>
        <v>0</v>
      </c>
    </row>
    <row r="129" spans="33:67">
      <c r="AG129" s="450"/>
      <c r="AO129" s="385"/>
      <c r="BG129" s="332">
        <f t="shared" ca="1" si="10"/>
        <v>314.17499999999995</v>
      </c>
      <c r="BH129" s="385">
        <f t="shared" ca="1" si="15"/>
        <v>43620</v>
      </c>
      <c r="BI129" s="269">
        <v>403.10602038947866</v>
      </c>
      <c r="BJ129" s="385">
        <f t="shared" ca="1" si="9"/>
        <v>43620</v>
      </c>
      <c r="BL129" s="269">
        <f t="shared" ca="1" si="11"/>
        <v>1000</v>
      </c>
      <c r="BM129" s="269">
        <f t="shared" ca="1" si="12"/>
        <v>0</v>
      </c>
      <c r="BN129" s="269">
        <f t="shared" ca="1" si="13"/>
        <v>0</v>
      </c>
      <c r="BO129" s="269">
        <f t="shared" ca="1" si="14"/>
        <v>0</v>
      </c>
    </row>
    <row r="130" spans="33:67">
      <c r="AG130" s="450"/>
      <c r="AO130" s="385"/>
      <c r="BG130" s="332">
        <f t="shared" ca="1" si="10"/>
        <v>314.17499999999995</v>
      </c>
      <c r="BH130" s="385">
        <f t="shared" ca="1" si="15"/>
        <v>43621</v>
      </c>
      <c r="BI130" s="269">
        <v>400.05333332715554</v>
      </c>
      <c r="BJ130" s="385">
        <f t="shared" ca="1" si="9"/>
        <v>43621</v>
      </c>
      <c r="BL130" s="269">
        <f t="shared" ca="1" si="11"/>
        <v>1000</v>
      </c>
      <c r="BM130" s="269">
        <f t="shared" ca="1" si="12"/>
        <v>0</v>
      </c>
      <c r="BN130" s="269">
        <f t="shared" ca="1" si="13"/>
        <v>0</v>
      </c>
      <c r="BO130" s="269">
        <f t="shared" ca="1" si="14"/>
        <v>0</v>
      </c>
    </row>
    <row r="131" spans="33:67">
      <c r="AG131" s="450"/>
      <c r="AO131" s="385"/>
      <c r="BG131" s="332">
        <f t="shared" ca="1" si="10"/>
        <v>314.17499999999995</v>
      </c>
      <c r="BH131" s="385">
        <f t="shared" ca="1" si="15"/>
        <v>43622</v>
      </c>
      <c r="BI131" s="269">
        <v>396.8991156454012</v>
      </c>
      <c r="BJ131" s="385">
        <f t="shared" ca="1" si="9"/>
        <v>43622</v>
      </c>
      <c r="BL131" s="269">
        <f t="shared" ca="1" si="11"/>
        <v>1000</v>
      </c>
      <c r="BM131" s="269">
        <f t="shared" ca="1" si="12"/>
        <v>0</v>
      </c>
      <c r="BN131" s="269">
        <f t="shared" ca="1" si="13"/>
        <v>0</v>
      </c>
      <c r="BO131" s="269">
        <f t="shared" ca="1" si="14"/>
        <v>0</v>
      </c>
    </row>
    <row r="132" spans="33:67">
      <c r="AG132" s="450"/>
      <c r="AO132" s="385"/>
      <c r="BG132" s="332">
        <f t="shared" ca="1" si="10"/>
        <v>314.17499999999995</v>
      </c>
      <c r="BH132" s="385">
        <f t="shared" ca="1" si="15"/>
        <v>43623</v>
      </c>
      <c r="BI132" s="269">
        <v>393.64336734421551</v>
      </c>
      <c r="BJ132" s="385">
        <f t="shared" ca="1" si="9"/>
        <v>43623</v>
      </c>
      <c r="BL132" s="269">
        <f t="shared" ca="1" si="11"/>
        <v>1000</v>
      </c>
      <c r="BM132" s="269">
        <f t="shared" ca="1" si="12"/>
        <v>0</v>
      </c>
      <c r="BN132" s="269">
        <f t="shared" ca="1" si="13"/>
        <v>0</v>
      </c>
      <c r="BO132" s="269">
        <f t="shared" ca="1" si="14"/>
        <v>0</v>
      </c>
    </row>
    <row r="133" spans="33:67">
      <c r="AG133" s="450"/>
      <c r="AO133" s="385"/>
      <c r="BG133" s="332">
        <f t="shared" ca="1" si="10"/>
        <v>314.17499999999995</v>
      </c>
      <c r="BH133" s="385">
        <f t="shared" ca="1" si="15"/>
        <v>43624</v>
      </c>
      <c r="BI133" s="269">
        <v>390.28608844213187</v>
      </c>
      <c r="BJ133" s="385">
        <f t="shared" ca="1" si="9"/>
        <v>43624</v>
      </c>
      <c r="BL133" s="269">
        <f t="shared" ca="1" si="11"/>
        <v>1000</v>
      </c>
      <c r="BM133" s="269">
        <f t="shared" ca="1" si="12"/>
        <v>0</v>
      </c>
      <c r="BN133" s="269">
        <f t="shared" ca="1" si="13"/>
        <v>0</v>
      </c>
      <c r="BO133" s="269">
        <f t="shared" ca="1" si="14"/>
        <v>0</v>
      </c>
    </row>
    <row r="134" spans="33:67">
      <c r="AG134" s="450"/>
      <c r="AO134" s="385"/>
      <c r="BG134" s="332">
        <f t="shared" ca="1" si="10"/>
        <v>314.17499999999995</v>
      </c>
      <c r="BH134" s="385">
        <f t="shared" ca="1" si="15"/>
        <v>43625</v>
      </c>
      <c r="BI134" s="269">
        <v>386.82727892061695</v>
      </c>
      <c r="BJ134" s="385">
        <f t="shared" ca="1" si="9"/>
        <v>43625</v>
      </c>
      <c r="BL134" s="269">
        <f t="shared" ca="1" si="11"/>
        <v>1000</v>
      </c>
      <c r="BM134" s="269">
        <f t="shared" ca="1" si="12"/>
        <v>0</v>
      </c>
      <c r="BN134" s="269">
        <f t="shared" ca="1" si="13"/>
        <v>0</v>
      </c>
      <c r="BO134" s="269">
        <f t="shared" ca="1" si="14"/>
        <v>0</v>
      </c>
    </row>
    <row r="135" spans="33:67">
      <c r="AG135" s="450"/>
      <c r="AO135" s="385"/>
      <c r="BG135" s="332">
        <f t="shared" ca="1" si="10"/>
        <v>314.17499999999995</v>
      </c>
      <c r="BH135" s="385">
        <f t="shared" ca="1" si="15"/>
        <v>43626</v>
      </c>
      <c r="BI135" s="269">
        <v>383.26693874260411</v>
      </c>
      <c r="BJ135" s="385">
        <f t="shared" ca="1" si="9"/>
        <v>43626</v>
      </c>
      <c r="BL135" s="269">
        <f t="shared" ca="1" si="11"/>
        <v>1000</v>
      </c>
      <c r="BM135" s="269">
        <f t="shared" ca="1" si="12"/>
        <v>0</v>
      </c>
      <c r="BN135" s="269">
        <f t="shared" ca="1" si="13"/>
        <v>0</v>
      </c>
      <c r="BO135" s="269">
        <f t="shared" ca="1" si="14"/>
        <v>0</v>
      </c>
    </row>
    <row r="136" spans="33:67">
      <c r="AG136" s="450"/>
      <c r="AO136" s="385"/>
      <c r="BG136" s="332">
        <f t="shared" ca="1" si="10"/>
        <v>314.17499999999995</v>
      </c>
      <c r="BH136" s="385">
        <f t="shared" ca="1" si="15"/>
        <v>43627</v>
      </c>
      <c r="BI136" s="269">
        <v>379.60506800075996</v>
      </c>
      <c r="BJ136" s="385">
        <f t="shared" ca="1" si="9"/>
        <v>43627</v>
      </c>
      <c r="BL136" s="269">
        <f t="shared" ca="1" si="11"/>
        <v>1000</v>
      </c>
      <c r="BM136" s="269">
        <f t="shared" ca="1" si="12"/>
        <v>0</v>
      </c>
      <c r="BN136" s="269">
        <f t="shared" ca="1" si="13"/>
        <v>0</v>
      </c>
      <c r="BO136" s="269">
        <f t="shared" ca="1" si="14"/>
        <v>0</v>
      </c>
    </row>
    <row r="137" spans="33:67">
      <c r="AG137" s="450"/>
      <c r="AO137" s="385"/>
      <c r="BG137" s="332">
        <f t="shared" ca="1" si="10"/>
        <v>314.17499999999995</v>
      </c>
      <c r="BH137" s="385">
        <f t="shared" ca="1" si="15"/>
        <v>43628</v>
      </c>
      <c r="BI137" s="269">
        <v>375.84166663948446</v>
      </c>
      <c r="BJ137" s="385">
        <f t="shared" ca="1" si="9"/>
        <v>43628</v>
      </c>
      <c r="BL137" s="269">
        <f t="shared" ca="1" si="11"/>
        <v>1000</v>
      </c>
      <c r="BM137" s="269">
        <f t="shared" ca="1" si="12"/>
        <v>0</v>
      </c>
      <c r="BN137" s="269">
        <f t="shared" ca="1" si="13"/>
        <v>0</v>
      </c>
      <c r="BO137" s="269">
        <f t="shared" ca="1" si="14"/>
        <v>0</v>
      </c>
    </row>
    <row r="138" spans="33:67">
      <c r="AG138" s="450"/>
      <c r="AO138" s="385"/>
      <c r="BG138" s="332">
        <f t="shared" ca="1" si="10"/>
        <v>314.17499999999995</v>
      </c>
      <c r="BH138" s="385">
        <f t="shared" ca="1" si="15"/>
        <v>43629</v>
      </c>
      <c r="BI138" s="269">
        <v>371.97673467731101</v>
      </c>
      <c r="BJ138" s="385">
        <f t="shared" ca="1" si="9"/>
        <v>43629</v>
      </c>
      <c r="BL138" s="269">
        <f t="shared" ca="1" si="11"/>
        <v>1000</v>
      </c>
      <c r="BM138" s="269">
        <f t="shared" ca="1" si="12"/>
        <v>0</v>
      </c>
      <c r="BN138" s="269">
        <f t="shared" ca="1" si="13"/>
        <v>0</v>
      </c>
      <c r="BO138" s="269">
        <f t="shared" ca="1" si="14"/>
        <v>0</v>
      </c>
    </row>
    <row r="139" spans="33:67">
      <c r="AG139" s="450"/>
      <c r="AO139" s="385"/>
      <c r="BG139" s="332">
        <f t="shared" ca="1" si="10"/>
        <v>314.17499999999995</v>
      </c>
      <c r="BH139" s="385">
        <f t="shared" ca="1" si="15"/>
        <v>43630</v>
      </c>
      <c r="BI139" s="269">
        <v>368.01027209570634</v>
      </c>
      <c r="BJ139" s="385">
        <f t="shared" ref="BJ139:BJ170" ca="1" si="16">BH139</f>
        <v>43630</v>
      </c>
      <c r="BL139" s="269">
        <f t="shared" ca="1" si="11"/>
        <v>1000</v>
      </c>
      <c r="BM139" s="269">
        <f t="shared" ca="1" si="12"/>
        <v>0</v>
      </c>
      <c r="BN139" s="269">
        <f t="shared" ca="1" si="13"/>
        <v>0</v>
      </c>
      <c r="BO139" s="269">
        <f t="shared" ca="1" si="14"/>
        <v>0</v>
      </c>
    </row>
    <row r="140" spans="33:67">
      <c r="AG140" s="450"/>
      <c r="AO140" s="385"/>
      <c r="BG140" s="332">
        <f t="shared" ca="1" si="10"/>
        <v>314.17499999999995</v>
      </c>
      <c r="BH140" s="385">
        <f t="shared" ca="1" si="15"/>
        <v>43631</v>
      </c>
      <c r="BI140" s="269">
        <v>363.94227889467032</v>
      </c>
      <c r="BJ140" s="385">
        <f t="shared" ca="1" si="16"/>
        <v>43631</v>
      </c>
      <c r="BL140" s="269">
        <f t="shared" ca="1" si="11"/>
        <v>1000</v>
      </c>
      <c r="BM140" s="269">
        <f t="shared" ca="1" si="12"/>
        <v>0</v>
      </c>
      <c r="BN140" s="269">
        <f t="shared" ca="1" si="13"/>
        <v>0</v>
      </c>
      <c r="BO140" s="269">
        <f t="shared" ca="1" si="14"/>
        <v>0</v>
      </c>
    </row>
    <row r="141" spans="33:67">
      <c r="AG141" s="450"/>
      <c r="AO141" s="385"/>
      <c r="BG141" s="332">
        <f t="shared" ca="1" si="10"/>
        <v>314.17499999999995</v>
      </c>
      <c r="BH141" s="385">
        <f t="shared" ca="1" si="15"/>
        <v>43632</v>
      </c>
      <c r="BI141" s="269">
        <v>359.77275509273636</v>
      </c>
      <c r="BJ141" s="385">
        <f t="shared" ca="1" si="16"/>
        <v>43632</v>
      </c>
      <c r="BL141" s="269">
        <f t="shared" ca="1" si="11"/>
        <v>1000</v>
      </c>
      <c r="BM141" s="269">
        <f t="shared" ca="1" si="12"/>
        <v>0</v>
      </c>
      <c r="BN141" s="269">
        <f t="shared" ca="1" si="13"/>
        <v>0</v>
      </c>
      <c r="BO141" s="269">
        <f t="shared" ca="1" si="14"/>
        <v>0</v>
      </c>
    </row>
    <row r="142" spans="33:67">
      <c r="AG142" s="450"/>
      <c r="AO142" s="385"/>
      <c r="BG142" s="332">
        <f t="shared" ca="1" si="10"/>
        <v>314.17499999999995</v>
      </c>
      <c r="BH142" s="385">
        <f t="shared" ca="1" si="15"/>
        <v>43633</v>
      </c>
      <c r="BI142" s="269">
        <v>355.50170067137105</v>
      </c>
      <c r="BJ142" s="385">
        <f t="shared" ca="1" si="16"/>
        <v>43633</v>
      </c>
      <c r="BL142" s="269">
        <f t="shared" ca="1" si="11"/>
        <v>1000</v>
      </c>
      <c r="BM142" s="269">
        <f t="shared" ca="1" si="12"/>
        <v>0</v>
      </c>
      <c r="BN142" s="269">
        <f t="shared" ca="1" si="13"/>
        <v>0</v>
      </c>
      <c r="BO142" s="269">
        <f t="shared" ca="1" si="14"/>
        <v>0</v>
      </c>
    </row>
    <row r="143" spans="33:67">
      <c r="AG143" s="450"/>
      <c r="AO143" s="385"/>
      <c r="BG143" s="332">
        <f t="shared" ca="1" si="10"/>
        <v>314.17499999999995</v>
      </c>
      <c r="BH143" s="385">
        <f t="shared" ca="1" si="15"/>
        <v>43634</v>
      </c>
      <c r="BI143" s="269">
        <v>351.12911564910786</v>
      </c>
      <c r="BJ143" s="385">
        <f t="shared" ca="1" si="16"/>
        <v>43634</v>
      </c>
      <c r="BL143" s="269">
        <f t="shared" ca="1" si="11"/>
        <v>1000</v>
      </c>
      <c r="BM143" s="269">
        <f t="shared" ca="1" si="12"/>
        <v>0</v>
      </c>
      <c r="BN143" s="269">
        <f t="shared" ca="1" si="13"/>
        <v>0</v>
      </c>
      <c r="BO143" s="269">
        <f t="shared" ca="1" si="14"/>
        <v>0</v>
      </c>
    </row>
    <row r="144" spans="33:67">
      <c r="AG144" s="450"/>
      <c r="AO144" s="385"/>
      <c r="BG144" s="332">
        <f t="shared" ca="1" si="10"/>
        <v>314.17499999999995</v>
      </c>
      <c r="BH144" s="385">
        <f t="shared" ca="1" si="15"/>
        <v>43635</v>
      </c>
      <c r="BI144" s="269">
        <v>346.65500000741332</v>
      </c>
      <c r="BJ144" s="385">
        <f t="shared" ca="1" si="16"/>
        <v>43635</v>
      </c>
      <c r="BL144" s="269">
        <f t="shared" ca="1" si="11"/>
        <v>1000</v>
      </c>
      <c r="BM144" s="269">
        <f t="shared" ca="1" si="12"/>
        <v>0</v>
      </c>
      <c r="BN144" s="269">
        <f t="shared" ca="1" si="13"/>
        <v>0</v>
      </c>
      <c r="BO144" s="269">
        <f t="shared" ca="1" si="14"/>
        <v>0</v>
      </c>
    </row>
    <row r="145" spans="33:67">
      <c r="AG145" s="450"/>
      <c r="AO145" s="385"/>
      <c r="BG145" s="332">
        <f t="shared" ca="1" si="10"/>
        <v>314.17499999999995</v>
      </c>
      <c r="BH145" s="385">
        <f t="shared" ca="1" si="15"/>
        <v>43636</v>
      </c>
      <c r="BI145" s="269">
        <v>342.07935374628755</v>
      </c>
      <c r="BJ145" s="385">
        <f t="shared" ca="1" si="16"/>
        <v>43636</v>
      </c>
      <c r="BL145" s="269">
        <f t="shared" ca="1" si="11"/>
        <v>1000</v>
      </c>
      <c r="BM145" s="269">
        <f t="shared" ca="1" si="12"/>
        <v>0</v>
      </c>
      <c r="BN145" s="269">
        <f t="shared" ca="1" si="13"/>
        <v>0</v>
      </c>
      <c r="BO145" s="269">
        <f t="shared" ca="1" si="14"/>
        <v>1000</v>
      </c>
    </row>
    <row r="146" spans="33:67">
      <c r="AG146" s="450"/>
      <c r="AO146" s="385"/>
      <c r="BG146" s="332">
        <f t="shared" ca="1" si="10"/>
        <v>314.17499999999995</v>
      </c>
      <c r="BH146" s="385">
        <f t="shared" ca="1" si="15"/>
        <v>43637</v>
      </c>
      <c r="BI146" s="269">
        <v>337.40217688426378</v>
      </c>
      <c r="BJ146" s="385">
        <f t="shared" ca="1" si="16"/>
        <v>43637</v>
      </c>
      <c r="BL146" s="269">
        <f t="shared" ca="1" si="11"/>
        <v>0</v>
      </c>
      <c r="BM146" s="269">
        <f t="shared" ca="1" si="12"/>
        <v>0</v>
      </c>
      <c r="BN146" s="269">
        <f t="shared" ca="1" si="13"/>
        <v>0</v>
      </c>
      <c r="BO146" s="269">
        <f t="shared" ca="1" si="14"/>
        <v>1000</v>
      </c>
    </row>
    <row r="147" spans="33:67">
      <c r="AG147" s="450"/>
      <c r="AO147" s="385"/>
      <c r="BG147" s="332">
        <f t="shared" ref="BG147:BG178" ca="1" si="17">IF(BH147&lt;$BC$97,NA(),$V$50)</f>
        <v>314.17499999999995</v>
      </c>
      <c r="BH147" s="385">
        <f t="shared" ca="1" si="15"/>
        <v>43638</v>
      </c>
      <c r="BI147" s="269">
        <v>332.62346936574204</v>
      </c>
      <c r="BJ147" s="385">
        <f t="shared" ca="1" si="16"/>
        <v>43638</v>
      </c>
      <c r="BL147" s="269">
        <f t="shared" ca="1" si="11"/>
        <v>0</v>
      </c>
      <c r="BM147" s="269">
        <f t="shared" ca="1" si="12"/>
        <v>0</v>
      </c>
      <c r="BN147" s="269">
        <f t="shared" ca="1" si="13"/>
        <v>0</v>
      </c>
      <c r="BO147" s="269">
        <f t="shared" ca="1" si="14"/>
        <v>1000</v>
      </c>
    </row>
    <row r="148" spans="33:67">
      <c r="AG148" s="450"/>
      <c r="AO148" s="385"/>
      <c r="BG148" s="332">
        <f t="shared" ca="1" si="17"/>
        <v>314.17499999999995</v>
      </c>
      <c r="BH148" s="385">
        <f t="shared" ca="1" si="15"/>
        <v>43639</v>
      </c>
      <c r="BI148" s="269">
        <v>327.74323126485569</v>
      </c>
      <c r="BJ148" s="385">
        <f t="shared" ca="1" si="16"/>
        <v>43639</v>
      </c>
      <c r="BL148" s="269">
        <f t="shared" ref="BL148:BL179" ca="1" si="18">IF(AND(BH148&gt;=$BB$95,BH148&lt;=$BB$95+$BB$96),1000,0)</f>
        <v>0</v>
      </c>
      <c r="BM148" s="269">
        <f t="shared" ref="BM148:BM179" ca="1" si="19">IF(BH148=$BB$97,1000,0)</f>
        <v>0</v>
      </c>
      <c r="BN148" s="269">
        <f t="shared" ref="BN148:BN179" ca="1" si="20">IF(BH148=$BC$97,1000,0)</f>
        <v>0</v>
      </c>
      <c r="BO148" s="269">
        <f t="shared" ref="BO148:BO179" ca="1" si="21">IF(AND(BH148&gt;=$BC$95,BH148&lt;=$BC$95+$BC$96),1000,0)</f>
        <v>1000</v>
      </c>
    </row>
    <row r="149" spans="33:67">
      <c r="AG149" s="450"/>
      <c r="AO149" s="385"/>
      <c r="BG149" s="332">
        <f t="shared" ca="1" si="17"/>
        <v>314.17499999999995</v>
      </c>
      <c r="BH149" s="385">
        <f t="shared" ref="BH149:BH180" ca="1" si="22">BH148+1</f>
        <v>43640</v>
      </c>
      <c r="BI149" s="269">
        <v>322.7614625630714</v>
      </c>
      <c r="BJ149" s="385">
        <f t="shared" ca="1" si="16"/>
        <v>43640</v>
      </c>
      <c r="BL149" s="269">
        <f t="shared" ca="1" si="18"/>
        <v>0</v>
      </c>
      <c r="BM149" s="269">
        <f t="shared" ca="1" si="19"/>
        <v>0</v>
      </c>
      <c r="BN149" s="269">
        <f t="shared" ca="1" si="20"/>
        <v>0</v>
      </c>
      <c r="BO149" s="269">
        <f t="shared" ca="1" si="21"/>
        <v>1000</v>
      </c>
    </row>
    <row r="150" spans="33:67">
      <c r="AG150" s="450"/>
      <c r="AO150" s="385"/>
      <c r="BG150" s="332">
        <f t="shared" ca="1" si="17"/>
        <v>314.17499999999995</v>
      </c>
      <c r="BH150" s="385">
        <f t="shared" ca="1" si="22"/>
        <v>43641</v>
      </c>
      <c r="BI150" s="269">
        <v>317.67816324185583</v>
      </c>
      <c r="BJ150" s="385">
        <f t="shared" ca="1" si="16"/>
        <v>43641</v>
      </c>
      <c r="BL150" s="269">
        <f t="shared" ca="1" si="18"/>
        <v>0</v>
      </c>
      <c r="BM150" s="269">
        <f t="shared" ca="1" si="19"/>
        <v>0</v>
      </c>
      <c r="BN150" s="269">
        <f t="shared" ca="1" si="20"/>
        <v>0</v>
      </c>
      <c r="BO150" s="269">
        <f t="shared" ca="1" si="21"/>
        <v>1000</v>
      </c>
    </row>
    <row r="151" spans="33:67">
      <c r="AG151" s="450"/>
      <c r="AO151" s="385"/>
      <c r="BG151" s="332">
        <f t="shared" ca="1" si="17"/>
        <v>314.17499999999995</v>
      </c>
      <c r="BH151" s="385">
        <f t="shared" ca="1" si="22"/>
        <v>43642</v>
      </c>
      <c r="BI151" s="269">
        <v>312.49333331974225</v>
      </c>
      <c r="BJ151" s="385">
        <f t="shared" ca="1" si="16"/>
        <v>43642</v>
      </c>
      <c r="BL151" s="269">
        <f t="shared" ca="1" si="18"/>
        <v>0</v>
      </c>
      <c r="BM151" s="269">
        <f t="shared" ca="1" si="19"/>
        <v>0</v>
      </c>
      <c r="BN151" s="269">
        <f t="shared" ca="1" si="20"/>
        <v>0</v>
      </c>
      <c r="BO151" s="269">
        <f t="shared" ca="1" si="21"/>
        <v>1000</v>
      </c>
    </row>
    <row r="152" spans="33:67">
      <c r="AG152" s="450"/>
      <c r="AO152" s="385"/>
      <c r="BG152" s="332">
        <f t="shared" ca="1" si="17"/>
        <v>314.17499999999995</v>
      </c>
      <c r="BH152" s="385">
        <f t="shared" ca="1" si="22"/>
        <v>43643</v>
      </c>
      <c r="BI152" s="269">
        <v>307.20697277819738</v>
      </c>
      <c r="BJ152" s="385">
        <f t="shared" ca="1" si="16"/>
        <v>43643</v>
      </c>
      <c r="BL152" s="269">
        <f t="shared" ca="1" si="18"/>
        <v>0</v>
      </c>
      <c r="BM152" s="269">
        <f t="shared" ca="1" si="19"/>
        <v>0</v>
      </c>
      <c r="BN152" s="269">
        <f t="shared" ca="1" si="20"/>
        <v>0</v>
      </c>
      <c r="BO152" s="269">
        <f t="shared" ca="1" si="21"/>
        <v>1000</v>
      </c>
    </row>
    <row r="153" spans="33:67">
      <c r="AG153" s="450"/>
      <c r="AO153" s="385"/>
      <c r="BG153" s="332">
        <f t="shared" ca="1" si="17"/>
        <v>314.17499999999995</v>
      </c>
      <c r="BH153" s="385">
        <f t="shared" ca="1" si="22"/>
        <v>43644</v>
      </c>
      <c r="BI153" s="269">
        <v>301.81908161722123</v>
      </c>
      <c r="BJ153" s="385">
        <f t="shared" ca="1" si="16"/>
        <v>43644</v>
      </c>
      <c r="BL153" s="269">
        <f t="shared" ca="1" si="18"/>
        <v>0</v>
      </c>
      <c r="BM153" s="269">
        <f t="shared" ca="1" si="19"/>
        <v>0</v>
      </c>
      <c r="BN153" s="269">
        <f t="shared" ca="1" si="20"/>
        <v>0</v>
      </c>
      <c r="BO153" s="269">
        <f t="shared" ca="1" si="21"/>
        <v>1000</v>
      </c>
    </row>
    <row r="154" spans="33:67">
      <c r="AG154" s="450"/>
      <c r="AO154" s="385"/>
      <c r="BG154" s="332">
        <f t="shared" ca="1" si="17"/>
        <v>314.17499999999995</v>
      </c>
      <c r="BH154" s="385">
        <f t="shared" ca="1" si="22"/>
        <v>43645</v>
      </c>
      <c r="BI154" s="269">
        <v>296.32965985534713</v>
      </c>
      <c r="BJ154" s="385">
        <f t="shared" ca="1" si="16"/>
        <v>43645</v>
      </c>
      <c r="BL154" s="269">
        <f t="shared" ca="1" si="18"/>
        <v>0</v>
      </c>
      <c r="BM154" s="269">
        <f t="shared" ca="1" si="19"/>
        <v>0</v>
      </c>
      <c r="BN154" s="269">
        <f t="shared" ca="1" si="20"/>
        <v>0</v>
      </c>
      <c r="BO154" s="269">
        <f t="shared" ca="1" si="21"/>
        <v>1000</v>
      </c>
    </row>
    <row r="155" spans="33:67">
      <c r="AG155" s="450"/>
      <c r="AO155" s="385"/>
      <c r="BG155" s="332">
        <f t="shared" ca="1" si="17"/>
        <v>314.17499999999995</v>
      </c>
      <c r="BH155" s="385">
        <f t="shared" ca="1" si="22"/>
        <v>43646</v>
      </c>
      <c r="BI155" s="269">
        <v>291.40391156425699</v>
      </c>
      <c r="BJ155" s="385">
        <f t="shared" ca="1" si="16"/>
        <v>43646</v>
      </c>
      <c r="BL155" s="269">
        <f t="shared" ca="1" si="18"/>
        <v>0</v>
      </c>
      <c r="BM155" s="269">
        <f t="shared" ca="1" si="19"/>
        <v>0</v>
      </c>
      <c r="BN155" s="269">
        <f t="shared" ca="1" si="20"/>
        <v>0</v>
      </c>
      <c r="BO155" s="269">
        <f t="shared" ca="1" si="21"/>
        <v>1000</v>
      </c>
    </row>
    <row r="156" spans="33:67">
      <c r="AG156" s="450"/>
      <c r="AO156" s="385"/>
      <c r="BG156" s="332">
        <f t="shared" ca="1" si="17"/>
        <v>314.17499999999995</v>
      </c>
      <c r="BH156" s="385">
        <f t="shared" ca="1" si="22"/>
        <v>43647</v>
      </c>
      <c r="BI156" s="269">
        <v>291.16934693885963</v>
      </c>
      <c r="BJ156" s="385">
        <f t="shared" ca="1" si="16"/>
        <v>43647</v>
      </c>
      <c r="BL156" s="269">
        <f t="shared" ca="1" si="18"/>
        <v>0</v>
      </c>
      <c r="BM156" s="269">
        <f t="shared" ca="1" si="19"/>
        <v>0</v>
      </c>
      <c r="BN156" s="269">
        <f t="shared" ca="1" si="20"/>
        <v>0</v>
      </c>
      <c r="BO156" s="269">
        <f t="shared" ca="1" si="21"/>
        <v>1000</v>
      </c>
    </row>
    <row r="157" spans="33:67">
      <c r="AG157" s="450"/>
      <c r="AO157" s="385"/>
      <c r="BG157" s="332">
        <f t="shared" ca="1" si="17"/>
        <v>314.17499999999995</v>
      </c>
      <c r="BH157" s="385">
        <f t="shared" ca="1" si="22"/>
        <v>43648</v>
      </c>
      <c r="BI157" s="269">
        <v>290.93059863969688</v>
      </c>
      <c r="BJ157" s="385">
        <f t="shared" ca="1" si="16"/>
        <v>43648</v>
      </c>
      <c r="BL157" s="269">
        <f t="shared" ca="1" si="18"/>
        <v>0</v>
      </c>
      <c r="BM157" s="269">
        <f t="shared" ca="1" si="19"/>
        <v>0</v>
      </c>
      <c r="BN157" s="269">
        <f t="shared" ca="1" si="20"/>
        <v>0</v>
      </c>
      <c r="BO157" s="269">
        <f t="shared" ca="1" si="21"/>
        <v>1000</v>
      </c>
    </row>
    <row r="158" spans="33:67">
      <c r="AG158" s="450"/>
      <c r="AO158" s="385"/>
      <c r="BG158" s="332">
        <f t="shared" ca="1" si="17"/>
        <v>314.17499999999995</v>
      </c>
      <c r="BH158" s="385">
        <f t="shared" ca="1" si="22"/>
        <v>43649</v>
      </c>
      <c r="BI158" s="269">
        <v>290.68766666524112</v>
      </c>
      <c r="BJ158" s="385">
        <f t="shared" ca="1" si="16"/>
        <v>43649</v>
      </c>
      <c r="BL158" s="269">
        <f t="shared" ca="1" si="18"/>
        <v>0</v>
      </c>
      <c r="BM158" s="269">
        <f t="shared" ca="1" si="19"/>
        <v>0</v>
      </c>
      <c r="BN158" s="269">
        <f t="shared" ca="1" si="20"/>
        <v>0</v>
      </c>
      <c r="BO158" s="269">
        <f t="shared" ca="1" si="21"/>
        <v>1000</v>
      </c>
    </row>
    <row r="159" spans="33:67">
      <c r="AG159" s="450"/>
      <c r="AO159" s="385"/>
      <c r="BG159" s="332">
        <f t="shared" ca="1" si="17"/>
        <v>314.17499999999995</v>
      </c>
      <c r="BH159" s="385">
        <f t="shared" ca="1" si="22"/>
        <v>43650</v>
      </c>
      <c r="BI159" s="269">
        <v>290.44055101931099</v>
      </c>
      <c r="BJ159" s="385">
        <f t="shared" ca="1" si="16"/>
        <v>43650</v>
      </c>
      <c r="BL159" s="269">
        <f t="shared" ca="1" si="18"/>
        <v>0</v>
      </c>
      <c r="BM159" s="269">
        <f t="shared" ca="1" si="19"/>
        <v>0</v>
      </c>
      <c r="BN159" s="269">
        <f t="shared" ca="1" si="20"/>
        <v>0</v>
      </c>
      <c r="BO159" s="269">
        <f t="shared" ca="1" si="21"/>
        <v>1000</v>
      </c>
    </row>
    <row r="160" spans="33:67">
      <c r="AG160" s="450"/>
      <c r="AO160" s="385"/>
      <c r="BG160" s="332">
        <f t="shared" ca="1" si="17"/>
        <v>314.17499999999995</v>
      </c>
      <c r="BH160" s="385">
        <f t="shared" ca="1" si="22"/>
        <v>43651</v>
      </c>
      <c r="BI160" s="269">
        <v>290.18925169961523</v>
      </c>
      <c r="BJ160" s="385">
        <f t="shared" ca="1" si="16"/>
        <v>43651</v>
      </c>
      <c r="BL160" s="269">
        <f t="shared" ca="1" si="18"/>
        <v>0</v>
      </c>
      <c r="BM160" s="269">
        <f t="shared" ca="1" si="19"/>
        <v>0</v>
      </c>
      <c r="BN160" s="269">
        <f t="shared" ca="1" si="20"/>
        <v>0</v>
      </c>
      <c r="BO160" s="269">
        <f t="shared" ca="1" si="21"/>
        <v>1000</v>
      </c>
    </row>
    <row r="161" spans="33:67">
      <c r="AG161" s="450"/>
      <c r="AO161" s="385"/>
      <c r="BG161" s="332">
        <f t="shared" ca="1" si="17"/>
        <v>314.17499999999995</v>
      </c>
      <c r="BH161" s="385">
        <f t="shared" ca="1" si="22"/>
        <v>43652</v>
      </c>
      <c r="BI161" s="269">
        <v>289.93376870691782</v>
      </c>
      <c r="BJ161" s="385">
        <f t="shared" ca="1" si="16"/>
        <v>43652</v>
      </c>
      <c r="BL161" s="269">
        <f t="shared" ca="1" si="18"/>
        <v>0</v>
      </c>
      <c r="BM161" s="269">
        <f t="shared" ca="1" si="19"/>
        <v>0</v>
      </c>
      <c r="BN161" s="269">
        <f t="shared" ca="1" si="20"/>
        <v>0</v>
      </c>
      <c r="BO161" s="269">
        <f t="shared" ca="1" si="21"/>
        <v>1000</v>
      </c>
    </row>
    <row r="162" spans="33:67">
      <c r="AG162" s="450"/>
      <c r="AO162" s="385"/>
      <c r="BG162" s="332">
        <f t="shared" ca="1" si="17"/>
        <v>314.17499999999995</v>
      </c>
      <c r="BH162" s="385">
        <f t="shared" ca="1" si="22"/>
        <v>43653</v>
      </c>
      <c r="BI162" s="269">
        <v>289.67410203969109</v>
      </c>
      <c r="BJ162" s="385">
        <f t="shared" ca="1" si="16"/>
        <v>43653</v>
      </c>
      <c r="BL162" s="269">
        <f t="shared" ca="1" si="18"/>
        <v>0</v>
      </c>
      <c r="BM162" s="269">
        <f t="shared" ca="1" si="19"/>
        <v>0</v>
      </c>
      <c r="BN162" s="269">
        <f t="shared" ca="1" si="20"/>
        <v>0</v>
      </c>
      <c r="BO162" s="269">
        <f t="shared" ca="1" si="21"/>
        <v>1000</v>
      </c>
    </row>
    <row r="163" spans="33:67">
      <c r="AG163" s="450"/>
      <c r="AO163" s="385"/>
      <c r="BG163" s="332">
        <f t="shared" ca="1" si="17"/>
        <v>314.17499999999995</v>
      </c>
      <c r="BH163" s="385">
        <f t="shared" ca="1" si="22"/>
        <v>43654</v>
      </c>
      <c r="BI163" s="269">
        <v>289.41025170022624</v>
      </c>
      <c r="BJ163" s="385">
        <f t="shared" ca="1" si="16"/>
        <v>43654</v>
      </c>
      <c r="BL163" s="269">
        <f t="shared" ca="1" si="18"/>
        <v>0</v>
      </c>
      <c r="BM163" s="269">
        <f t="shared" ca="1" si="19"/>
        <v>0</v>
      </c>
      <c r="BN163" s="269">
        <f t="shared" ca="1" si="20"/>
        <v>0</v>
      </c>
      <c r="BO163" s="269">
        <f t="shared" ca="1" si="21"/>
        <v>1000</v>
      </c>
    </row>
    <row r="164" spans="33:67">
      <c r="AG164" s="450"/>
      <c r="AO164" s="385"/>
      <c r="BG164" s="332">
        <f t="shared" ca="1" si="17"/>
        <v>314.17499999999995</v>
      </c>
      <c r="BH164" s="385">
        <f t="shared" ca="1" si="22"/>
        <v>43655</v>
      </c>
      <c r="BI164" s="269">
        <v>289.14221768623219</v>
      </c>
      <c r="BJ164" s="385">
        <f t="shared" ca="1" si="16"/>
        <v>43655</v>
      </c>
      <c r="BL164" s="269">
        <f t="shared" ca="1" si="18"/>
        <v>0</v>
      </c>
      <c r="BM164" s="269">
        <f t="shared" ca="1" si="19"/>
        <v>0</v>
      </c>
      <c r="BN164" s="269">
        <f t="shared" ca="1" si="20"/>
        <v>0</v>
      </c>
      <c r="BO164" s="269">
        <f t="shared" ca="1" si="21"/>
        <v>1000</v>
      </c>
    </row>
    <row r="165" spans="33:67">
      <c r="AG165" s="450"/>
      <c r="AO165" s="385"/>
      <c r="BG165" s="332">
        <f t="shared" ca="1" si="17"/>
        <v>314.17499999999995</v>
      </c>
      <c r="BH165" s="385">
        <f t="shared" ca="1" si="22"/>
        <v>43656</v>
      </c>
      <c r="BI165" s="269">
        <v>288.87</v>
      </c>
      <c r="BJ165" s="385">
        <f t="shared" ca="1" si="16"/>
        <v>43656</v>
      </c>
      <c r="BL165" s="269">
        <f t="shared" ca="1" si="18"/>
        <v>0</v>
      </c>
      <c r="BM165" s="269">
        <f t="shared" ca="1" si="19"/>
        <v>0</v>
      </c>
      <c r="BN165" s="269">
        <f t="shared" ca="1" si="20"/>
        <v>0</v>
      </c>
      <c r="BO165" s="269">
        <f t="shared" ca="1" si="21"/>
        <v>1000</v>
      </c>
    </row>
    <row r="166" spans="33:67">
      <c r="AG166" s="450"/>
      <c r="AO166" s="385"/>
      <c r="BG166" s="332">
        <f t="shared" ca="1" si="17"/>
        <v>314.17499999999995</v>
      </c>
      <c r="BH166" s="385">
        <f t="shared" ca="1" si="22"/>
        <v>43657</v>
      </c>
      <c r="BI166" s="269">
        <v>288.59359863923862</v>
      </c>
      <c r="BJ166" s="385">
        <f t="shared" ca="1" si="16"/>
        <v>43657</v>
      </c>
      <c r="BL166" s="269">
        <f t="shared" ca="1" si="18"/>
        <v>0</v>
      </c>
      <c r="BM166" s="269">
        <f t="shared" ca="1" si="19"/>
        <v>0</v>
      </c>
      <c r="BN166" s="269">
        <f t="shared" ca="1" si="20"/>
        <v>0</v>
      </c>
      <c r="BO166" s="269">
        <f t="shared" ca="1" si="21"/>
        <v>1000</v>
      </c>
    </row>
    <row r="167" spans="33:67">
      <c r="AG167" s="450"/>
      <c r="AO167" s="385"/>
      <c r="BG167" s="332">
        <f t="shared" ca="1" si="17"/>
        <v>314.17499999999995</v>
      </c>
      <c r="BH167" s="385">
        <f t="shared" ca="1" si="22"/>
        <v>43658</v>
      </c>
      <c r="BI167" s="269">
        <v>288.31301360547536</v>
      </c>
      <c r="BJ167" s="385">
        <f t="shared" ca="1" si="16"/>
        <v>43658</v>
      </c>
      <c r="BL167" s="269">
        <f t="shared" ca="1" si="18"/>
        <v>0</v>
      </c>
      <c r="BM167" s="269">
        <f t="shared" ca="1" si="19"/>
        <v>0</v>
      </c>
      <c r="BN167" s="269">
        <f t="shared" ca="1" si="20"/>
        <v>0</v>
      </c>
      <c r="BO167" s="269">
        <f t="shared" ca="1" si="21"/>
        <v>1000</v>
      </c>
    </row>
    <row r="168" spans="33:67">
      <c r="AG168" s="450"/>
      <c r="AO168" s="385"/>
      <c r="BG168" s="332">
        <f t="shared" ca="1" si="17"/>
        <v>314.17499999999995</v>
      </c>
      <c r="BH168" s="385">
        <f t="shared" ca="1" si="22"/>
        <v>43659</v>
      </c>
      <c r="BI168" s="269">
        <v>288.02824489794671</v>
      </c>
      <c r="BJ168" s="385">
        <f t="shared" ca="1" si="16"/>
        <v>43659</v>
      </c>
      <c r="BL168" s="269">
        <f t="shared" ca="1" si="18"/>
        <v>0</v>
      </c>
      <c r="BM168" s="269">
        <f t="shared" ca="1" si="19"/>
        <v>0</v>
      </c>
      <c r="BN168" s="269">
        <f t="shared" ca="1" si="20"/>
        <v>0</v>
      </c>
      <c r="BO168" s="269">
        <f t="shared" ca="1" si="21"/>
        <v>1000</v>
      </c>
    </row>
    <row r="169" spans="33:67">
      <c r="AG169" s="450"/>
      <c r="AO169" s="385"/>
      <c r="BG169" s="332">
        <f t="shared" ca="1" si="17"/>
        <v>314.17499999999995</v>
      </c>
      <c r="BH169" s="385">
        <f t="shared" ca="1" si="22"/>
        <v>43660</v>
      </c>
      <c r="BI169" s="269">
        <v>287.73929251741612</v>
      </c>
      <c r="BJ169" s="385">
        <f t="shared" ca="1" si="16"/>
        <v>43660</v>
      </c>
      <c r="BL169" s="269">
        <f t="shared" ca="1" si="18"/>
        <v>0</v>
      </c>
      <c r="BM169" s="269">
        <f t="shared" ca="1" si="19"/>
        <v>0</v>
      </c>
      <c r="BN169" s="269">
        <f t="shared" ca="1" si="20"/>
        <v>0</v>
      </c>
      <c r="BO169" s="269">
        <f t="shared" ca="1" si="21"/>
        <v>1000</v>
      </c>
    </row>
    <row r="170" spans="33:67">
      <c r="AG170" s="450"/>
      <c r="AO170" s="385"/>
      <c r="BG170" s="332">
        <f t="shared" ca="1" si="17"/>
        <v>314.17499999999995</v>
      </c>
      <c r="BH170" s="385">
        <f t="shared" ca="1" si="22"/>
        <v>43661</v>
      </c>
      <c r="BI170" s="269">
        <v>287.44615646159275</v>
      </c>
      <c r="BJ170" s="385">
        <f t="shared" ca="1" si="16"/>
        <v>43661</v>
      </c>
      <c r="BL170" s="269">
        <f t="shared" ca="1" si="18"/>
        <v>0</v>
      </c>
      <c r="BM170" s="269">
        <f t="shared" ca="1" si="19"/>
        <v>0</v>
      </c>
      <c r="BN170" s="269">
        <f t="shared" ca="1" si="20"/>
        <v>0</v>
      </c>
      <c r="BO170" s="269">
        <f t="shared" ca="1" si="21"/>
        <v>1000</v>
      </c>
    </row>
    <row r="171" spans="33:67">
      <c r="AG171" s="450"/>
      <c r="AO171" s="385"/>
      <c r="BG171" s="332">
        <f t="shared" ca="1" si="17"/>
        <v>314.17499999999995</v>
      </c>
      <c r="BH171" s="385">
        <f t="shared" ca="1" si="22"/>
        <v>43662</v>
      </c>
      <c r="BI171" s="269">
        <v>287.1488367335312</v>
      </c>
      <c r="BJ171" s="385">
        <f t="shared" ref="BJ171:BJ202" ca="1" si="23">BH171</f>
        <v>43662</v>
      </c>
      <c r="BL171" s="269">
        <f t="shared" ca="1" si="18"/>
        <v>0</v>
      </c>
      <c r="BM171" s="269">
        <f t="shared" ca="1" si="19"/>
        <v>0</v>
      </c>
      <c r="BN171" s="269">
        <f t="shared" ca="1" si="20"/>
        <v>0</v>
      </c>
      <c r="BO171" s="269">
        <f t="shared" ca="1" si="21"/>
        <v>0</v>
      </c>
    </row>
    <row r="172" spans="33:67">
      <c r="AG172" s="450"/>
      <c r="AO172" s="385"/>
      <c r="BG172" s="332">
        <f t="shared" ca="1" si="17"/>
        <v>314.17499999999995</v>
      </c>
      <c r="BH172" s="385">
        <f t="shared" ca="1" si="22"/>
        <v>43663</v>
      </c>
      <c r="BI172" s="269">
        <v>286.84733333246783</v>
      </c>
      <c r="BJ172" s="385">
        <f t="shared" ca="1" si="23"/>
        <v>43663</v>
      </c>
      <c r="BL172" s="269">
        <f t="shared" ca="1" si="18"/>
        <v>0</v>
      </c>
      <c r="BM172" s="269">
        <f t="shared" ca="1" si="19"/>
        <v>0</v>
      </c>
      <c r="BN172" s="269">
        <f t="shared" ca="1" si="20"/>
        <v>0</v>
      </c>
      <c r="BO172" s="269">
        <f t="shared" ca="1" si="21"/>
        <v>0</v>
      </c>
    </row>
    <row r="173" spans="33:67">
      <c r="AG173" s="450"/>
      <c r="AO173" s="385"/>
      <c r="BG173" s="332">
        <f t="shared" ca="1" si="17"/>
        <v>314.17499999999995</v>
      </c>
      <c r="BH173" s="385">
        <f t="shared" ca="1" si="22"/>
        <v>43664</v>
      </c>
      <c r="BI173" s="269">
        <v>286.54164625763894</v>
      </c>
      <c r="BJ173" s="385">
        <f t="shared" ca="1" si="23"/>
        <v>43664</v>
      </c>
      <c r="BL173" s="269">
        <f t="shared" ca="1" si="18"/>
        <v>0</v>
      </c>
      <c r="BM173" s="269">
        <f t="shared" ca="1" si="19"/>
        <v>0</v>
      </c>
      <c r="BN173" s="269">
        <f t="shared" ca="1" si="20"/>
        <v>0</v>
      </c>
      <c r="BO173" s="269">
        <f t="shared" ca="1" si="21"/>
        <v>0</v>
      </c>
    </row>
    <row r="174" spans="33:67">
      <c r="AG174" s="450"/>
      <c r="AO174" s="385"/>
      <c r="BG174" s="332">
        <f t="shared" ca="1" si="17"/>
        <v>314.17499999999995</v>
      </c>
      <c r="BH174" s="385">
        <f t="shared" ca="1" si="22"/>
        <v>43665</v>
      </c>
      <c r="BI174" s="269">
        <v>286.23177550980824</v>
      </c>
      <c r="BJ174" s="385">
        <f t="shared" ca="1" si="23"/>
        <v>43665</v>
      </c>
      <c r="BL174" s="269">
        <f t="shared" ca="1" si="18"/>
        <v>0</v>
      </c>
      <c r="BM174" s="269">
        <f t="shared" ca="1" si="19"/>
        <v>0</v>
      </c>
      <c r="BN174" s="269">
        <f t="shared" ca="1" si="20"/>
        <v>0</v>
      </c>
      <c r="BO174" s="269">
        <f t="shared" ca="1" si="21"/>
        <v>0</v>
      </c>
    </row>
    <row r="175" spans="33:67">
      <c r="AG175" s="450"/>
      <c r="AO175" s="385"/>
      <c r="BG175" s="332">
        <f t="shared" ca="1" si="17"/>
        <v>314.17499999999995</v>
      </c>
      <c r="BH175" s="385">
        <f t="shared" ca="1" si="22"/>
        <v>43666</v>
      </c>
      <c r="BI175" s="269">
        <v>285.91772108821198</v>
      </c>
      <c r="BJ175" s="385">
        <f t="shared" ca="1" si="23"/>
        <v>43666</v>
      </c>
      <c r="BL175" s="269">
        <f t="shared" ca="1" si="18"/>
        <v>0</v>
      </c>
      <c r="BM175" s="269">
        <f t="shared" ca="1" si="19"/>
        <v>0</v>
      </c>
      <c r="BN175" s="269">
        <f t="shared" ca="1" si="20"/>
        <v>0</v>
      </c>
      <c r="BO175" s="269">
        <f t="shared" ca="1" si="21"/>
        <v>0</v>
      </c>
    </row>
    <row r="176" spans="33:67">
      <c r="AG176" s="450"/>
      <c r="AO176" s="385"/>
      <c r="BG176" s="332">
        <f t="shared" ca="1" si="17"/>
        <v>314.17499999999995</v>
      </c>
      <c r="BH176" s="385">
        <f t="shared" ca="1" si="22"/>
        <v>43667</v>
      </c>
      <c r="BI176" s="269">
        <v>285.5994829928502</v>
      </c>
      <c r="BJ176" s="385">
        <f t="shared" ca="1" si="23"/>
        <v>43667</v>
      </c>
      <c r="BL176" s="269">
        <f t="shared" ca="1" si="18"/>
        <v>0</v>
      </c>
      <c r="BM176" s="269">
        <f t="shared" ca="1" si="19"/>
        <v>0</v>
      </c>
      <c r="BN176" s="269">
        <f t="shared" ca="1" si="20"/>
        <v>0</v>
      </c>
      <c r="BO176" s="269">
        <f t="shared" ca="1" si="21"/>
        <v>0</v>
      </c>
    </row>
    <row r="177" spans="33:67">
      <c r="AG177" s="450"/>
      <c r="AO177" s="385"/>
      <c r="BG177" s="332">
        <f t="shared" ca="1" si="17"/>
        <v>314.17499999999995</v>
      </c>
      <c r="BH177" s="385">
        <f t="shared" ca="1" si="22"/>
        <v>43668</v>
      </c>
      <c r="BI177" s="269">
        <v>285.27706122448666</v>
      </c>
      <c r="BJ177" s="385">
        <f t="shared" ca="1" si="23"/>
        <v>43668</v>
      </c>
      <c r="BL177" s="269">
        <f t="shared" ca="1" si="18"/>
        <v>0</v>
      </c>
      <c r="BM177" s="269">
        <f t="shared" ca="1" si="19"/>
        <v>0</v>
      </c>
      <c r="BN177" s="269">
        <f t="shared" ca="1" si="20"/>
        <v>0</v>
      </c>
      <c r="BO177" s="269">
        <f t="shared" ca="1" si="21"/>
        <v>0</v>
      </c>
    </row>
    <row r="178" spans="33:67">
      <c r="AG178" s="450"/>
      <c r="AO178" s="385"/>
      <c r="BG178" s="332">
        <f t="shared" ca="1" si="17"/>
        <v>314.17499999999995</v>
      </c>
      <c r="BH178" s="385">
        <f t="shared" ca="1" si="22"/>
        <v>43669</v>
      </c>
      <c r="BI178" s="269">
        <v>284.95045578235761</v>
      </c>
      <c r="BJ178" s="385">
        <f t="shared" ca="1" si="23"/>
        <v>43669</v>
      </c>
      <c r="BL178" s="269">
        <f t="shared" ca="1" si="18"/>
        <v>0</v>
      </c>
      <c r="BM178" s="269">
        <f t="shared" ca="1" si="19"/>
        <v>0</v>
      </c>
      <c r="BN178" s="269">
        <f t="shared" ca="1" si="20"/>
        <v>0</v>
      </c>
      <c r="BO178" s="269">
        <f t="shared" ca="1" si="21"/>
        <v>0</v>
      </c>
    </row>
    <row r="179" spans="33:67">
      <c r="AG179" s="450"/>
      <c r="AO179" s="385"/>
      <c r="BG179" s="332">
        <f t="shared" ref="BG179:BG210" ca="1" si="24">IF(BH179&lt;$BC$97,NA(),$V$50)</f>
        <v>314.17499999999995</v>
      </c>
      <c r="BH179" s="385">
        <f t="shared" ca="1" si="22"/>
        <v>43670</v>
      </c>
      <c r="BI179" s="269">
        <v>284.61966666646299</v>
      </c>
      <c r="BJ179" s="385">
        <f t="shared" ca="1" si="23"/>
        <v>43670</v>
      </c>
      <c r="BL179" s="269">
        <f t="shared" ca="1" si="18"/>
        <v>0</v>
      </c>
      <c r="BM179" s="269">
        <f t="shared" ca="1" si="19"/>
        <v>0</v>
      </c>
      <c r="BN179" s="269">
        <f t="shared" ca="1" si="20"/>
        <v>0</v>
      </c>
      <c r="BO179" s="269">
        <f t="shared" ca="1" si="21"/>
        <v>0</v>
      </c>
    </row>
    <row r="180" spans="33:67">
      <c r="AG180" s="450"/>
      <c r="AO180" s="385"/>
      <c r="BG180" s="332">
        <f t="shared" ca="1" si="24"/>
        <v>314.17499999999995</v>
      </c>
      <c r="BH180" s="385">
        <f t="shared" ca="1" si="22"/>
        <v>43671</v>
      </c>
      <c r="BI180" s="269">
        <v>284.28469387756661</v>
      </c>
      <c r="BJ180" s="385">
        <f t="shared" ca="1" si="23"/>
        <v>43671</v>
      </c>
      <c r="BL180" s="269">
        <f t="shared" ref="BL180:BL211" ca="1" si="25">IF(AND(BH180&gt;=$BB$95,BH180&lt;=$BB$95+$BB$96),1000,0)</f>
        <v>0</v>
      </c>
      <c r="BM180" s="269">
        <f t="shared" ref="BM180:BM211" ca="1" si="26">IF(BH180=$BB$97,1000,0)</f>
        <v>0</v>
      </c>
      <c r="BN180" s="269">
        <f t="shared" ref="BN180:BN211" ca="1" si="27">IF(BH180=$BC$97,1000,0)</f>
        <v>0</v>
      </c>
      <c r="BO180" s="269">
        <f t="shared" ref="BO180:BO211" ca="1" si="28">IF(AND(BH180&gt;=$BC$95,BH180&lt;=$BC$95+$BC$96),1000,0)</f>
        <v>0</v>
      </c>
    </row>
    <row r="181" spans="33:67">
      <c r="AG181" s="459"/>
      <c r="AO181" s="385"/>
      <c r="BG181" s="332">
        <f t="shared" ca="1" si="24"/>
        <v>314.17499999999995</v>
      </c>
      <c r="BH181" s="385">
        <f t="shared" ref="BH181:BH212" ca="1" si="29">BH180+1</f>
        <v>43672</v>
      </c>
      <c r="BI181" s="269">
        <v>283.94553741490466</v>
      </c>
      <c r="BJ181" s="385">
        <f t="shared" ca="1" si="23"/>
        <v>43672</v>
      </c>
      <c r="BL181" s="269">
        <f t="shared" ca="1" si="25"/>
        <v>0</v>
      </c>
      <c r="BM181" s="269">
        <f t="shared" ca="1" si="26"/>
        <v>0</v>
      </c>
      <c r="BN181" s="269">
        <f t="shared" ca="1" si="27"/>
        <v>0</v>
      </c>
      <c r="BO181" s="269">
        <f t="shared" ca="1" si="28"/>
        <v>0</v>
      </c>
    </row>
    <row r="182" spans="33:67">
      <c r="AG182" s="19"/>
      <c r="AO182" s="385"/>
      <c r="BG182" s="332">
        <f t="shared" ca="1" si="24"/>
        <v>314.17499999999995</v>
      </c>
      <c r="BH182" s="385">
        <f t="shared" ca="1" si="29"/>
        <v>43673</v>
      </c>
      <c r="BI182" s="269">
        <v>283.60219727771357</v>
      </c>
      <c r="BJ182" s="385">
        <f t="shared" ca="1" si="23"/>
        <v>43673</v>
      </c>
      <c r="BL182" s="269">
        <f t="shared" ca="1" si="25"/>
        <v>0</v>
      </c>
      <c r="BM182" s="269">
        <f t="shared" ca="1" si="26"/>
        <v>0</v>
      </c>
      <c r="BN182" s="269">
        <f t="shared" ca="1" si="27"/>
        <v>0</v>
      </c>
      <c r="BO182" s="269">
        <f t="shared" ca="1" si="28"/>
        <v>0</v>
      </c>
    </row>
    <row r="183" spans="33:67">
      <c r="AO183" s="385"/>
      <c r="BG183" s="332">
        <f t="shared" ca="1" si="24"/>
        <v>314.17499999999995</v>
      </c>
      <c r="BH183" s="385">
        <f t="shared" ca="1" si="29"/>
        <v>43674</v>
      </c>
      <c r="BI183" s="269">
        <v>283.2546734682843</v>
      </c>
      <c r="BJ183" s="385">
        <f t="shared" ca="1" si="23"/>
        <v>43674</v>
      </c>
      <c r="BL183" s="269">
        <f t="shared" ca="1" si="25"/>
        <v>0</v>
      </c>
      <c r="BM183" s="269">
        <f t="shared" ca="1" si="26"/>
        <v>0</v>
      </c>
      <c r="BN183" s="269">
        <f t="shared" ca="1" si="27"/>
        <v>0</v>
      </c>
      <c r="BO183" s="269">
        <f t="shared" ca="1" si="28"/>
        <v>0</v>
      </c>
    </row>
    <row r="184" spans="33:67">
      <c r="AO184" s="385"/>
      <c r="BG184" s="332">
        <f t="shared" ca="1" si="24"/>
        <v>314.17499999999995</v>
      </c>
      <c r="BH184" s="385">
        <f t="shared" ca="1" si="29"/>
        <v>43675</v>
      </c>
      <c r="BI184" s="269">
        <v>282.90296598508957</v>
      </c>
      <c r="BJ184" s="385">
        <f t="shared" ca="1" si="23"/>
        <v>43675</v>
      </c>
      <c r="BL184" s="269">
        <f t="shared" ca="1" si="25"/>
        <v>0</v>
      </c>
      <c r="BM184" s="269">
        <f t="shared" ca="1" si="26"/>
        <v>0</v>
      </c>
      <c r="BN184" s="269">
        <f t="shared" ca="1" si="27"/>
        <v>0</v>
      </c>
      <c r="BO184" s="269">
        <f t="shared" ca="1" si="28"/>
        <v>0</v>
      </c>
    </row>
    <row r="185" spans="33:67">
      <c r="AO185" s="385"/>
      <c r="BG185" s="332">
        <f t="shared" ca="1" si="24"/>
        <v>314.17499999999995</v>
      </c>
      <c r="BH185" s="385">
        <f t="shared" ca="1" si="29"/>
        <v>43676</v>
      </c>
      <c r="BI185" s="269">
        <v>282.5470748288929</v>
      </c>
      <c r="BJ185" s="385">
        <f t="shared" ca="1" si="23"/>
        <v>43676</v>
      </c>
      <c r="BL185" s="269">
        <f t="shared" ca="1" si="25"/>
        <v>0</v>
      </c>
      <c r="BM185" s="269">
        <f t="shared" ca="1" si="26"/>
        <v>0</v>
      </c>
      <c r="BN185" s="269">
        <f t="shared" ca="1" si="27"/>
        <v>0</v>
      </c>
      <c r="BO185" s="269">
        <f t="shared" ca="1" si="28"/>
        <v>0</v>
      </c>
    </row>
    <row r="186" spans="33:67">
      <c r="AO186" s="19"/>
      <c r="BG186" s="332">
        <f t="shared" ca="1" si="24"/>
        <v>314.17499999999995</v>
      </c>
      <c r="BH186" s="385">
        <f t="shared" ca="1" si="29"/>
        <v>43677</v>
      </c>
      <c r="BI186" s="269">
        <v>282.18699999969454</v>
      </c>
      <c r="BJ186" s="385">
        <f t="shared" ca="1" si="23"/>
        <v>43677</v>
      </c>
      <c r="BL186" s="269">
        <f t="shared" ca="1" si="25"/>
        <v>0</v>
      </c>
      <c r="BM186" s="269">
        <f t="shared" ca="1" si="26"/>
        <v>0</v>
      </c>
      <c r="BN186" s="269">
        <f t="shared" ca="1" si="27"/>
        <v>0</v>
      </c>
      <c r="BO186" s="269">
        <f t="shared" ca="1" si="28"/>
        <v>0</v>
      </c>
    </row>
    <row r="187" spans="33:67">
      <c r="BG187" s="332">
        <f t="shared" ca="1" si="24"/>
        <v>314.17499999999995</v>
      </c>
      <c r="BH187" s="385">
        <f t="shared" ca="1" si="29"/>
        <v>43678</v>
      </c>
      <c r="BI187" s="269">
        <v>281.82274149596685</v>
      </c>
      <c r="BJ187" s="385">
        <f t="shared" ca="1" si="23"/>
        <v>43678</v>
      </c>
      <c r="BL187" s="269">
        <f t="shared" ca="1" si="25"/>
        <v>0</v>
      </c>
      <c r="BM187" s="269">
        <f t="shared" ca="1" si="26"/>
        <v>0</v>
      </c>
      <c r="BN187" s="269">
        <f t="shared" ca="1" si="27"/>
        <v>0</v>
      </c>
      <c r="BO187" s="269">
        <f t="shared" ca="1" si="28"/>
        <v>0</v>
      </c>
    </row>
    <row r="188" spans="33:67">
      <c r="BG188" s="332">
        <f t="shared" ca="1" si="24"/>
        <v>314.17499999999995</v>
      </c>
      <c r="BH188" s="385">
        <f t="shared" ca="1" si="29"/>
        <v>43679</v>
      </c>
      <c r="BI188" s="269">
        <v>281.45429931923746</v>
      </c>
      <c r="BJ188" s="385">
        <f t="shared" ca="1" si="23"/>
        <v>43679</v>
      </c>
      <c r="BL188" s="269">
        <f t="shared" ca="1" si="25"/>
        <v>0</v>
      </c>
      <c r="BM188" s="269">
        <f t="shared" ca="1" si="26"/>
        <v>0</v>
      </c>
      <c r="BN188" s="269">
        <f t="shared" ca="1" si="27"/>
        <v>0</v>
      </c>
      <c r="BO188" s="269">
        <f t="shared" ca="1" si="28"/>
        <v>0</v>
      </c>
    </row>
    <row r="189" spans="33:67">
      <c r="BG189" s="332">
        <f t="shared" ca="1" si="24"/>
        <v>314.17499999999995</v>
      </c>
      <c r="BH189" s="385">
        <f t="shared" ca="1" si="29"/>
        <v>43680</v>
      </c>
      <c r="BI189" s="269">
        <v>281.08167346874245</v>
      </c>
      <c r="BJ189" s="385">
        <f t="shared" ca="1" si="23"/>
        <v>43680</v>
      </c>
      <c r="BL189" s="269">
        <f t="shared" ca="1" si="25"/>
        <v>0</v>
      </c>
      <c r="BM189" s="269">
        <f t="shared" ca="1" si="26"/>
        <v>0</v>
      </c>
      <c r="BN189" s="269">
        <f t="shared" ca="1" si="27"/>
        <v>0</v>
      </c>
      <c r="BO189" s="269">
        <f t="shared" ca="1" si="28"/>
        <v>0</v>
      </c>
    </row>
    <row r="190" spans="33:67">
      <c r="BG190" s="332">
        <f t="shared" ca="1" si="24"/>
        <v>314.17499999999995</v>
      </c>
      <c r="BH190" s="385">
        <f t="shared" ca="1" si="29"/>
        <v>43681</v>
      </c>
      <c r="BI190" s="269">
        <v>280.70486394524573</v>
      </c>
      <c r="BJ190" s="385">
        <f t="shared" ca="1" si="23"/>
        <v>43681</v>
      </c>
      <c r="BL190" s="269">
        <f t="shared" ca="1" si="25"/>
        <v>0</v>
      </c>
      <c r="BM190" s="269">
        <f t="shared" ca="1" si="26"/>
        <v>0</v>
      </c>
      <c r="BN190" s="269">
        <f t="shared" ca="1" si="27"/>
        <v>0</v>
      </c>
      <c r="BO190" s="269">
        <f t="shared" ca="1" si="28"/>
        <v>0</v>
      </c>
    </row>
    <row r="191" spans="33:67">
      <c r="BG191" s="332">
        <f t="shared" ca="1" si="24"/>
        <v>314.17499999999995</v>
      </c>
      <c r="BH191" s="385">
        <f t="shared" ca="1" si="29"/>
        <v>43682</v>
      </c>
      <c r="BI191" s="269">
        <v>280.32387074798339</v>
      </c>
      <c r="BJ191" s="385">
        <f t="shared" ca="1" si="23"/>
        <v>43682</v>
      </c>
      <c r="BL191" s="269">
        <f t="shared" ca="1" si="25"/>
        <v>0</v>
      </c>
      <c r="BM191" s="269">
        <f t="shared" ca="1" si="26"/>
        <v>0</v>
      </c>
      <c r="BN191" s="269">
        <f t="shared" ca="1" si="27"/>
        <v>0</v>
      </c>
      <c r="BO191" s="269">
        <f t="shared" ca="1" si="28"/>
        <v>0</v>
      </c>
    </row>
    <row r="192" spans="33:67">
      <c r="BG192" s="332">
        <f t="shared" ca="1" si="24"/>
        <v>314.17499999999995</v>
      </c>
      <c r="BH192" s="385">
        <f t="shared" ca="1" si="29"/>
        <v>43683</v>
      </c>
      <c r="BI192" s="269">
        <v>279.93869387771934</v>
      </c>
      <c r="BJ192" s="385">
        <f t="shared" ca="1" si="23"/>
        <v>43683</v>
      </c>
      <c r="BL192" s="269">
        <f t="shared" ca="1" si="25"/>
        <v>0</v>
      </c>
      <c r="BM192" s="269">
        <f t="shared" ca="1" si="26"/>
        <v>0</v>
      </c>
      <c r="BN192" s="269">
        <f t="shared" ca="1" si="27"/>
        <v>0</v>
      </c>
      <c r="BO192" s="269">
        <f t="shared" ca="1" si="28"/>
        <v>0</v>
      </c>
    </row>
    <row r="193" spans="59:67">
      <c r="BG193" s="332">
        <f t="shared" ca="1" si="24"/>
        <v>314.17499999999995</v>
      </c>
      <c r="BH193" s="385">
        <f t="shared" ca="1" si="29"/>
        <v>43684</v>
      </c>
      <c r="BI193" s="269">
        <v>279.54933333368967</v>
      </c>
      <c r="BJ193" s="385">
        <f t="shared" ca="1" si="23"/>
        <v>43684</v>
      </c>
      <c r="BL193" s="269">
        <f t="shared" ca="1" si="25"/>
        <v>0</v>
      </c>
      <c r="BM193" s="269">
        <f t="shared" ca="1" si="26"/>
        <v>0</v>
      </c>
      <c r="BN193" s="269">
        <f t="shared" ca="1" si="27"/>
        <v>0</v>
      </c>
      <c r="BO193" s="269">
        <f t="shared" ca="1" si="28"/>
        <v>0</v>
      </c>
    </row>
    <row r="194" spans="59:67">
      <c r="BG194" s="332">
        <f t="shared" ca="1" si="24"/>
        <v>314.17499999999995</v>
      </c>
      <c r="BH194" s="385">
        <f t="shared" ca="1" si="29"/>
        <v>43685</v>
      </c>
      <c r="BI194" s="269">
        <v>279.15578911436717</v>
      </c>
      <c r="BJ194" s="385">
        <f t="shared" ca="1" si="23"/>
        <v>43685</v>
      </c>
      <c r="BL194" s="269">
        <f t="shared" ca="1" si="25"/>
        <v>0</v>
      </c>
      <c r="BM194" s="269">
        <f t="shared" ca="1" si="26"/>
        <v>0</v>
      </c>
      <c r="BN194" s="269">
        <f t="shared" ca="1" si="27"/>
        <v>0</v>
      </c>
      <c r="BO194" s="269">
        <f t="shared" ca="1" si="28"/>
        <v>0</v>
      </c>
    </row>
    <row r="195" spans="59:67">
      <c r="BG195" s="332">
        <f t="shared" ca="1" si="24"/>
        <v>314.17499999999995</v>
      </c>
      <c r="BH195" s="385">
        <f t="shared" ca="1" si="29"/>
        <v>43686</v>
      </c>
      <c r="BI195" s="269">
        <v>278.75806122357028</v>
      </c>
      <c r="BJ195" s="385">
        <f t="shared" ca="1" si="23"/>
        <v>43686</v>
      </c>
      <c r="BL195" s="269">
        <f t="shared" ca="1" si="25"/>
        <v>0</v>
      </c>
      <c r="BM195" s="269">
        <f t="shared" ca="1" si="26"/>
        <v>0</v>
      </c>
      <c r="BN195" s="269">
        <f t="shared" ca="1" si="27"/>
        <v>0</v>
      </c>
      <c r="BO195" s="269">
        <f t="shared" ca="1" si="28"/>
        <v>0</v>
      </c>
    </row>
    <row r="196" spans="59:67">
      <c r="BG196" s="332">
        <f t="shared" ca="1" si="24"/>
        <v>314.17499999999995</v>
      </c>
      <c r="BH196" s="385">
        <f t="shared" ca="1" si="29"/>
        <v>43687</v>
      </c>
      <c r="BI196" s="269">
        <v>278.35614965900777</v>
      </c>
      <c r="BJ196" s="385">
        <f t="shared" ca="1" si="23"/>
        <v>43687</v>
      </c>
      <c r="BL196" s="269">
        <f t="shared" ca="1" si="25"/>
        <v>0</v>
      </c>
      <c r="BM196" s="269">
        <f t="shared" ca="1" si="26"/>
        <v>0</v>
      </c>
      <c r="BN196" s="269">
        <f t="shared" ca="1" si="27"/>
        <v>0</v>
      </c>
      <c r="BO196" s="269">
        <f t="shared" ca="1" si="28"/>
        <v>0</v>
      </c>
    </row>
    <row r="197" spans="59:67">
      <c r="BG197" s="332">
        <f t="shared" ca="1" si="24"/>
        <v>314.17499999999995</v>
      </c>
      <c r="BH197" s="385">
        <f t="shared" ca="1" si="29"/>
        <v>43688</v>
      </c>
      <c r="BI197" s="269">
        <v>277.95005442067975</v>
      </c>
      <c r="BJ197" s="385">
        <f t="shared" ca="1" si="23"/>
        <v>43688</v>
      </c>
      <c r="BL197" s="269">
        <f t="shared" ca="1" si="25"/>
        <v>0</v>
      </c>
      <c r="BM197" s="269">
        <f t="shared" ca="1" si="26"/>
        <v>0</v>
      </c>
      <c r="BN197" s="269">
        <f t="shared" ca="1" si="27"/>
        <v>0</v>
      </c>
      <c r="BO197" s="269">
        <f t="shared" ca="1" si="28"/>
        <v>0</v>
      </c>
    </row>
    <row r="198" spans="59:67">
      <c r="BG198" s="332">
        <f t="shared" ca="1" si="24"/>
        <v>314.17499999999995</v>
      </c>
      <c r="BH198" s="385">
        <f t="shared" ca="1" si="29"/>
        <v>43689</v>
      </c>
      <c r="BI198" s="269">
        <v>277.53977550934997</v>
      </c>
      <c r="BJ198" s="385">
        <f t="shared" ca="1" si="23"/>
        <v>43689</v>
      </c>
      <c r="BL198" s="269">
        <f t="shared" ca="1" si="25"/>
        <v>0</v>
      </c>
      <c r="BM198" s="269">
        <f t="shared" ca="1" si="26"/>
        <v>0</v>
      </c>
      <c r="BN198" s="269">
        <f t="shared" ca="1" si="27"/>
        <v>0</v>
      </c>
      <c r="BO198" s="269">
        <f t="shared" ca="1" si="28"/>
        <v>0</v>
      </c>
    </row>
    <row r="199" spans="59:67">
      <c r="BG199" s="332">
        <f t="shared" ca="1" si="24"/>
        <v>314.17499999999995</v>
      </c>
      <c r="BH199" s="385">
        <f t="shared" ca="1" si="29"/>
        <v>43690</v>
      </c>
      <c r="BI199" s="269">
        <v>277.12531292501836</v>
      </c>
      <c r="BJ199" s="385">
        <f t="shared" ca="1" si="23"/>
        <v>43690</v>
      </c>
      <c r="BL199" s="269">
        <f t="shared" ca="1" si="25"/>
        <v>0</v>
      </c>
      <c r="BM199" s="269">
        <f t="shared" ca="1" si="26"/>
        <v>0</v>
      </c>
      <c r="BN199" s="269">
        <f t="shared" ca="1" si="27"/>
        <v>0</v>
      </c>
      <c r="BO199" s="269">
        <f t="shared" ca="1" si="28"/>
        <v>0</v>
      </c>
    </row>
    <row r="200" spans="59:67">
      <c r="BG200" s="332">
        <f t="shared" ca="1" si="24"/>
        <v>314.17499999999995</v>
      </c>
      <c r="BH200" s="385">
        <f t="shared" ca="1" si="29"/>
        <v>43691</v>
      </c>
      <c r="BI200" s="269">
        <v>276.7066666661575</v>
      </c>
      <c r="BJ200" s="385">
        <f t="shared" ca="1" si="23"/>
        <v>43691</v>
      </c>
      <c r="BL200" s="269">
        <f t="shared" ca="1" si="25"/>
        <v>0</v>
      </c>
      <c r="BM200" s="269">
        <f t="shared" ca="1" si="26"/>
        <v>0</v>
      </c>
      <c r="BN200" s="269">
        <f t="shared" ca="1" si="27"/>
        <v>0</v>
      </c>
      <c r="BO200" s="269">
        <f t="shared" ca="1" si="28"/>
        <v>0</v>
      </c>
    </row>
    <row r="201" spans="59:67">
      <c r="BG201" s="332">
        <f t="shared" ca="1" si="24"/>
        <v>314.17499999999995</v>
      </c>
      <c r="BH201" s="385">
        <f t="shared" ca="1" si="29"/>
        <v>43692</v>
      </c>
      <c r="BI201" s="269">
        <v>276.28383673429482</v>
      </c>
      <c r="BJ201" s="385">
        <f t="shared" ca="1" si="23"/>
        <v>43692</v>
      </c>
      <c r="BL201" s="269">
        <f t="shared" ca="1" si="25"/>
        <v>0</v>
      </c>
      <c r="BM201" s="269">
        <f t="shared" ca="1" si="26"/>
        <v>0</v>
      </c>
      <c r="BN201" s="269">
        <f t="shared" ca="1" si="27"/>
        <v>0</v>
      </c>
      <c r="BO201" s="269">
        <f t="shared" ca="1" si="28"/>
        <v>0</v>
      </c>
    </row>
    <row r="202" spans="59:67">
      <c r="BG202" s="332">
        <f t="shared" ca="1" si="24"/>
        <v>314.17499999999995</v>
      </c>
      <c r="BH202" s="385">
        <f t="shared" ca="1" si="29"/>
        <v>43693</v>
      </c>
      <c r="BI202" s="269">
        <v>275.85682312943038</v>
      </c>
      <c r="BJ202" s="385">
        <f t="shared" ca="1" si="23"/>
        <v>43693</v>
      </c>
      <c r="BL202" s="269">
        <f t="shared" ca="1" si="25"/>
        <v>0</v>
      </c>
      <c r="BM202" s="269">
        <f t="shared" ca="1" si="26"/>
        <v>0</v>
      </c>
      <c r="BN202" s="269">
        <f t="shared" ca="1" si="27"/>
        <v>0</v>
      </c>
      <c r="BO202" s="269">
        <f t="shared" ca="1" si="28"/>
        <v>0</v>
      </c>
    </row>
    <row r="203" spans="59:67">
      <c r="BG203" s="332">
        <f t="shared" ca="1" si="24"/>
        <v>314.17499999999995</v>
      </c>
      <c r="BH203" s="385">
        <f t="shared" ca="1" si="29"/>
        <v>43694</v>
      </c>
      <c r="BI203" s="269">
        <v>275.42562585003668</v>
      </c>
      <c r="BJ203" s="385">
        <f t="shared" ref="BJ203:BJ218" ca="1" si="30">BH203</f>
        <v>43694</v>
      </c>
      <c r="BL203" s="269">
        <f t="shared" ca="1" si="25"/>
        <v>0</v>
      </c>
      <c r="BM203" s="269">
        <f t="shared" ca="1" si="26"/>
        <v>0</v>
      </c>
      <c r="BN203" s="269">
        <f t="shared" ca="1" si="27"/>
        <v>0</v>
      </c>
      <c r="BO203" s="269">
        <f t="shared" ca="1" si="28"/>
        <v>0</v>
      </c>
    </row>
    <row r="204" spans="59:67">
      <c r="BG204" s="332">
        <f t="shared" ca="1" si="24"/>
        <v>314.17499999999995</v>
      </c>
      <c r="BH204" s="385">
        <f t="shared" ca="1" si="29"/>
        <v>43695</v>
      </c>
      <c r="BI204" s="269">
        <v>274.99024489840485</v>
      </c>
      <c r="BJ204" s="385">
        <f t="shared" ca="1" si="30"/>
        <v>43695</v>
      </c>
      <c r="BL204" s="269">
        <f t="shared" ca="1" si="25"/>
        <v>0</v>
      </c>
      <c r="BM204" s="269">
        <f t="shared" ca="1" si="26"/>
        <v>0</v>
      </c>
      <c r="BN204" s="269">
        <f t="shared" ca="1" si="27"/>
        <v>0</v>
      </c>
      <c r="BO204" s="269">
        <f t="shared" ca="1" si="28"/>
        <v>0</v>
      </c>
    </row>
    <row r="205" spans="59:67">
      <c r="BG205" s="332">
        <f t="shared" ca="1" si="24"/>
        <v>314.17499999999995</v>
      </c>
      <c r="BH205" s="385">
        <f t="shared" ca="1" si="29"/>
        <v>43696</v>
      </c>
      <c r="BI205" s="269">
        <v>274.5506802707165</v>
      </c>
      <c r="BJ205" s="385">
        <f t="shared" ca="1" si="30"/>
        <v>43696</v>
      </c>
      <c r="BL205" s="269">
        <f t="shared" ca="1" si="25"/>
        <v>0</v>
      </c>
      <c r="BM205" s="269">
        <f t="shared" ca="1" si="26"/>
        <v>0</v>
      </c>
      <c r="BN205" s="269">
        <f t="shared" ca="1" si="27"/>
        <v>0</v>
      </c>
      <c r="BO205" s="269">
        <f t="shared" ca="1" si="28"/>
        <v>0</v>
      </c>
    </row>
    <row r="206" spans="59:67">
      <c r="BG206" s="332">
        <f t="shared" ca="1" si="24"/>
        <v>314.17499999999995</v>
      </c>
      <c r="BH206" s="385">
        <f t="shared" ca="1" si="29"/>
        <v>43697</v>
      </c>
      <c r="BI206" s="269">
        <v>274.10693197155365</v>
      </c>
      <c r="BJ206" s="385">
        <f t="shared" ca="1" si="30"/>
        <v>43697</v>
      </c>
      <c r="BL206" s="269">
        <f t="shared" ca="1" si="25"/>
        <v>0</v>
      </c>
      <c r="BM206" s="269">
        <f t="shared" ca="1" si="26"/>
        <v>0</v>
      </c>
      <c r="BN206" s="269">
        <f t="shared" ca="1" si="27"/>
        <v>0</v>
      </c>
      <c r="BO206" s="269">
        <f t="shared" ca="1" si="28"/>
        <v>0</v>
      </c>
    </row>
    <row r="207" spans="59:67">
      <c r="BG207" s="332">
        <f t="shared" ca="1" si="24"/>
        <v>314.17499999999995</v>
      </c>
      <c r="BH207" s="385">
        <f t="shared" ca="1" si="29"/>
        <v>43698</v>
      </c>
      <c r="BI207" s="269">
        <v>273.65899999938904</v>
      </c>
      <c r="BJ207" s="385">
        <f t="shared" ca="1" si="30"/>
        <v>43698</v>
      </c>
      <c r="BL207" s="269">
        <f t="shared" ca="1" si="25"/>
        <v>0</v>
      </c>
      <c r="BM207" s="269">
        <f t="shared" ca="1" si="26"/>
        <v>0</v>
      </c>
      <c r="BN207" s="269">
        <f t="shared" ca="1" si="27"/>
        <v>0</v>
      </c>
      <c r="BO207" s="269">
        <f t="shared" ca="1" si="28"/>
        <v>0</v>
      </c>
    </row>
    <row r="208" spans="59:67">
      <c r="BG208" s="332">
        <f t="shared" ca="1" si="24"/>
        <v>314.17499999999995</v>
      </c>
      <c r="BH208" s="385">
        <f t="shared" ca="1" si="29"/>
        <v>43699</v>
      </c>
      <c r="BI208" s="269">
        <v>273.20688435269511</v>
      </c>
      <c r="BJ208" s="385">
        <f t="shared" ca="1" si="30"/>
        <v>43699</v>
      </c>
      <c r="BL208" s="269">
        <f t="shared" ca="1" si="25"/>
        <v>0</v>
      </c>
      <c r="BM208" s="269">
        <f t="shared" ca="1" si="26"/>
        <v>0</v>
      </c>
      <c r="BN208" s="269">
        <f t="shared" ca="1" si="27"/>
        <v>0</v>
      </c>
      <c r="BO208" s="269">
        <f t="shared" ca="1" si="28"/>
        <v>0</v>
      </c>
    </row>
    <row r="209" spans="59:67">
      <c r="BG209" s="332">
        <f t="shared" ca="1" si="24"/>
        <v>314.17499999999995</v>
      </c>
      <c r="BH209" s="385">
        <f t="shared" ca="1" si="29"/>
        <v>43700</v>
      </c>
      <c r="BI209" s="269">
        <v>272.75058503299942</v>
      </c>
      <c r="BJ209" s="385">
        <f t="shared" ca="1" si="30"/>
        <v>43700</v>
      </c>
      <c r="BL209" s="269">
        <f t="shared" ca="1" si="25"/>
        <v>0</v>
      </c>
      <c r="BM209" s="269">
        <f t="shared" ca="1" si="26"/>
        <v>0</v>
      </c>
      <c r="BN209" s="269">
        <f t="shared" ca="1" si="27"/>
        <v>0</v>
      </c>
      <c r="BO209" s="269">
        <f t="shared" ca="1" si="28"/>
        <v>0</v>
      </c>
    </row>
    <row r="210" spans="59:67">
      <c r="BG210" s="332">
        <f t="shared" ca="1" si="24"/>
        <v>314.17499999999995</v>
      </c>
      <c r="BH210" s="385">
        <f t="shared" ca="1" si="29"/>
        <v>43701</v>
      </c>
      <c r="BI210" s="269">
        <v>272.29010204030192</v>
      </c>
      <c r="BJ210" s="385">
        <f t="shared" ca="1" si="30"/>
        <v>43701</v>
      </c>
      <c r="BL210" s="269">
        <f t="shared" ca="1" si="25"/>
        <v>0</v>
      </c>
      <c r="BM210" s="269">
        <f t="shared" ca="1" si="26"/>
        <v>0</v>
      </c>
      <c r="BN210" s="269">
        <f t="shared" ca="1" si="27"/>
        <v>0</v>
      </c>
      <c r="BO210" s="269">
        <f t="shared" ca="1" si="28"/>
        <v>0</v>
      </c>
    </row>
    <row r="211" spans="59:67">
      <c r="BG211" s="332">
        <f t="shared" ref="BG211:BG218" ca="1" si="31">IF(BH211&lt;$BC$97,NA(),$V$50)</f>
        <v>314.17499999999995</v>
      </c>
      <c r="BH211" s="385">
        <f t="shared" ca="1" si="29"/>
        <v>43702</v>
      </c>
      <c r="BI211" s="269">
        <v>271.82543537383901</v>
      </c>
      <c r="BJ211" s="385">
        <f t="shared" ca="1" si="30"/>
        <v>43702</v>
      </c>
      <c r="BL211" s="269">
        <f t="shared" ca="1" si="25"/>
        <v>0</v>
      </c>
      <c r="BM211" s="269">
        <f t="shared" ca="1" si="26"/>
        <v>0</v>
      </c>
      <c r="BN211" s="269">
        <f t="shared" ca="1" si="27"/>
        <v>0</v>
      </c>
      <c r="BO211" s="269">
        <f t="shared" ca="1" si="28"/>
        <v>0</v>
      </c>
    </row>
    <row r="212" spans="59:67">
      <c r="BG212" s="332">
        <f t="shared" ca="1" si="31"/>
        <v>314.17499999999995</v>
      </c>
      <c r="BH212" s="385">
        <f t="shared" ca="1" si="29"/>
        <v>43703</v>
      </c>
      <c r="BI212" s="269">
        <v>271.35658503361049</v>
      </c>
      <c r="BJ212" s="385">
        <f t="shared" ca="1" si="30"/>
        <v>43703</v>
      </c>
      <c r="BL212" s="269">
        <f t="shared" ref="BL212:BL218" ca="1" si="32">IF(AND(BH212&gt;=$BB$95,BH212&lt;=$BB$95+$BB$96),1000,0)</f>
        <v>0</v>
      </c>
      <c r="BM212" s="269">
        <f t="shared" ref="BM212:BM218" ca="1" si="33">IF(BH212=$BB$97,1000,0)</f>
        <v>0</v>
      </c>
      <c r="BN212" s="269">
        <f t="shared" ref="BN212:BN218" ca="1" si="34">IF(BH212=$BC$97,1000,0)</f>
        <v>0</v>
      </c>
      <c r="BO212" s="269">
        <f t="shared" ref="BO212:BO218" ca="1" si="35">IF(AND(BH212&gt;=$BC$95,BH212&lt;=$BC$95+$BC$96),1000,0)</f>
        <v>0</v>
      </c>
    </row>
    <row r="213" spans="59:67">
      <c r="BG213" s="332">
        <f t="shared" ca="1" si="31"/>
        <v>314.17499999999995</v>
      </c>
      <c r="BH213" s="385">
        <f t="shared" ref="BH213:BH218" ca="1" si="36">BH212+1</f>
        <v>43704</v>
      </c>
      <c r="BI213" s="269">
        <v>270.88355102038003</v>
      </c>
      <c r="BJ213" s="385">
        <f t="shared" ca="1" si="30"/>
        <v>43704</v>
      </c>
      <c r="BL213" s="269">
        <f t="shared" ca="1" si="32"/>
        <v>0</v>
      </c>
      <c r="BM213" s="269">
        <f t="shared" ca="1" si="33"/>
        <v>0</v>
      </c>
      <c r="BN213" s="269">
        <f t="shared" ca="1" si="34"/>
        <v>0</v>
      </c>
      <c r="BO213" s="269">
        <f t="shared" ca="1" si="35"/>
        <v>0</v>
      </c>
    </row>
    <row r="214" spans="59:67">
      <c r="BG214" s="332">
        <f t="shared" ca="1" si="31"/>
        <v>314.17499999999995</v>
      </c>
      <c r="BH214" s="385">
        <f t="shared" ca="1" si="36"/>
        <v>43705</v>
      </c>
      <c r="BI214" s="269">
        <v>270.40633333338423</v>
      </c>
      <c r="BJ214" s="385">
        <f t="shared" ca="1" si="30"/>
        <v>43705</v>
      </c>
      <c r="BL214" s="269">
        <f t="shared" ca="1" si="32"/>
        <v>0</v>
      </c>
      <c r="BM214" s="269">
        <f t="shared" ca="1" si="33"/>
        <v>0</v>
      </c>
      <c r="BN214" s="269">
        <f t="shared" ca="1" si="34"/>
        <v>0</v>
      </c>
      <c r="BO214" s="269">
        <f t="shared" ca="1" si="35"/>
        <v>0</v>
      </c>
    </row>
    <row r="215" spans="59:67">
      <c r="BG215" s="332">
        <f t="shared" ca="1" si="31"/>
        <v>314.17499999999995</v>
      </c>
      <c r="BH215" s="385">
        <f t="shared" ca="1" si="36"/>
        <v>43706</v>
      </c>
      <c r="BI215" s="269">
        <v>269.92493197262286</v>
      </c>
      <c r="BJ215" s="385">
        <f t="shared" ca="1" si="30"/>
        <v>43706</v>
      </c>
      <c r="BL215" s="269">
        <f t="shared" ca="1" si="32"/>
        <v>0</v>
      </c>
      <c r="BM215" s="269">
        <f t="shared" ca="1" si="33"/>
        <v>0</v>
      </c>
      <c r="BN215" s="269">
        <f t="shared" ca="1" si="34"/>
        <v>0</v>
      </c>
      <c r="BO215" s="269">
        <f t="shared" ca="1" si="35"/>
        <v>0</v>
      </c>
    </row>
    <row r="216" spans="59:67">
      <c r="BG216" s="332">
        <f t="shared" ca="1" si="31"/>
        <v>314.17499999999995</v>
      </c>
      <c r="BH216" s="385">
        <f t="shared" ca="1" si="36"/>
        <v>43707</v>
      </c>
      <c r="BI216" s="269">
        <v>269.43934693885967</v>
      </c>
      <c r="BJ216" s="385">
        <f t="shared" ca="1" si="30"/>
        <v>43707</v>
      </c>
      <c r="BL216" s="269">
        <f t="shared" ca="1" si="32"/>
        <v>0</v>
      </c>
      <c r="BM216" s="269">
        <f t="shared" ca="1" si="33"/>
        <v>0</v>
      </c>
      <c r="BN216" s="269">
        <f t="shared" ca="1" si="34"/>
        <v>0</v>
      </c>
      <c r="BO216" s="269">
        <f t="shared" ca="1" si="35"/>
        <v>0</v>
      </c>
    </row>
    <row r="217" spans="59:67">
      <c r="BG217" s="332">
        <f t="shared" ca="1" si="31"/>
        <v>314.17499999999995</v>
      </c>
      <c r="BH217" s="385">
        <f t="shared" ca="1" si="36"/>
        <v>43708</v>
      </c>
      <c r="BI217" s="269">
        <v>268.94957822980359</v>
      </c>
      <c r="BJ217" s="385">
        <f t="shared" ca="1" si="30"/>
        <v>43708</v>
      </c>
      <c r="BL217" s="269">
        <f t="shared" ca="1" si="32"/>
        <v>0</v>
      </c>
      <c r="BM217" s="269">
        <f t="shared" ca="1" si="33"/>
        <v>0</v>
      </c>
      <c r="BN217" s="269">
        <f t="shared" ca="1" si="34"/>
        <v>0</v>
      </c>
      <c r="BO217" s="269">
        <f t="shared" ca="1" si="35"/>
        <v>0</v>
      </c>
    </row>
    <row r="218" spans="59:67">
      <c r="BG218" s="332">
        <f t="shared" ca="1" si="31"/>
        <v>314.17499999999995</v>
      </c>
      <c r="BH218" s="385">
        <f t="shared" ca="1" si="36"/>
        <v>43709</v>
      </c>
      <c r="BI218" s="269">
        <v>268.45562584927302</v>
      </c>
      <c r="BJ218" s="385">
        <f t="shared" ca="1" si="30"/>
        <v>43709</v>
      </c>
      <c r="BL218" s="269">
        <f t="shared" ca="1" si="32"/>
        <v>0</v>
      </c>
      <c r="BM218" s="269">
        <f t="shared" ca="1" si="33"/>
        <v>0</v>
      </c>
      <c r="BN218" s="269">
        <f t="shared" ca="1" si="34"/>
        <v>0</v>
      </c>
      <c r="BO218" s="269">
        <f t="shared" ca="1" si="35"/>
        <v>0</v>
      </c>
    </row>
  </sheetData>
  <sheetProtection sheet="1" objects="1" scenarios="1" selectLockedCells="1"/>
  <scenarios current="0" show="0">
    <scenario name="Corn Already Planted" count="1" user="William Edwards" comment="Created by William Edwards on 4/14/2005">
      <inputCells r="F15" val="38467" numFmtId="16"/>
    </scenario>
  </scenarios>
  <mergeCells count="36">
    <mergeCell ref="C37:H37"/>
    <mergeCell ref="C71:F71"/>
    <mergeCell ref="BB86:BC86"/>
    <mergeCell ref="T19:T20"/>
    <mergeCell ref="V19:V20"/>
    <mergeCell ref="X19:X20"/>
    <mergeCell ref="Z19:Z20"/>
    <mergeCell ref="AB19:AB20"/>
    <mergeCell ref="C29:D29"/>
    <mergeCell ref="E19:F19"/>
    <mergeCell ref="J19:J20"/>
    <mergeCell ref="L19:L20"/>
    <mergeCell ref="N19:N20"/>
    <mergeCell ref="P19:P20"/>
    <mergeCell ref="R19:R20"/>
    <mergeCell ref="V10:V11"/>
    <mergeCell ref="X10:X11"/>
    <mergeCell ref="Z10:Z11"/>
    <mergeCell ref="AB10:AB11"/>
    <mergeCell ref="P14:P16"/>
    <mergeCell ref="Z14:Z16"/>
    <mergeCell ref="T10:T11"/>
    <mergeCell ref="J10:J11"/>
    <mergeCell ref="L10:L11"/>
    <mergeCell ref="N10:N11"/>
    <mergeCell ref="P10:P11"/>
    <mergeCell ref="R10:R11"/>
    <mergeCell ref="J9:N9"/>
    <mergeCell ref="P9:T9"/>
    <mergeCell ref="V9:X9"/>
    <mergeCell ref="Z9:AB9"/>
    <mergeCell ref="D6:F6"/>
    <mergeCell ref="J8:N8"/>
    <mergeCell ref="P8:T8"/>
    <mergeCell ref="V8:X8"/>
    <mergeCell ref="Z8:AB8"/>
  </mergeCells>
  <conditionalFormatting sqref="J26:K26">
    <cfRule type="cellIs" dxfId="65" priority="41" operator="equal">
      <formula>0</formula>
    </cfRule>
  </conditionalFormatting>
  <conditionalFormatting sqref="L26:N26">
    <cfRule type="cellIs" dxfId="64" priority="40" operator="equal">
      <formula>0</formula>
    </cfRule>
  </conditionalFormatting>
  <conditionalFormatting sqref="W26">
    <cfRule type="cellIs" dxfId="63" priority="39" operator="equal">
      <formula>0</formula>
    </cfRule>
  </conditionalFormatting>
  <conditionalFormatting sqref="J27:J28 L27:L28 R27:R28">
    <cfRule type="expression" dxfId="62" priority="38">
      <formula>OR($AU$79=2,$AU$79&gt;3)</formula>
    </cfRule>
  </conditionalFormatting>
  <conditionalFormatting sqref="J26 L26 R26">
    <cfRule type="expression" dxfId="61" priority="37">
      <formula>$AU$79&lt;4</formula>
    </cfRule>
  </conditionalFormatting>
  <conditionalFormatting sqref="N27:N28 W27:W28">
    <cfRule type="expression" dxfId="60" priority="36">
      <formula>OR($AV$79=2,$AV$79&gt;3)</formula>
    </cfRule>
  </conditionalFormatting>
  <conditionalFormatting sqref="N26 W26">
    <cfRule type="expression" dxfId="59" priority="35">
      <formula>$AV$79&lt;4</formula>
    </cfRule>
  </conditionalFormatting>
  <conditionalFormatting sqref="P26:Q26">
    <cfRule type="cellIs" dxfId="58" priority="34" operator="equal">
      <formula>0</formula>
    </cfRule>
  </conditionalFormatting>
  <conditionalFormatting sqref="R26:T26">
    <cfRule type="cellIs" dxfId="57" priority="33" operator="equal">
      <formula>0</formula>
    </cfRule>
  </conditionalFormatting>
  <conditionalFormatting sqref="P27:P28">
    <cfRule type="expression" dxfId="56" priority="32">
      <formula>OR($AU$79=2,$AU$79&gt;3)</formula>
    </cfRule>
  </conditionalFormatting>
  <conditionalFormatting sqref="P26">
    <cfRule type="expression" dxfId="55" priority="31">
      <formula>$AU$79&lt;4</formula>
    </cfRule>
  </conditionalFormatting>
  <conditionalFormatting sqref="T27:T28">
    <cfRule type="expression" dxfId="54" priority="30">
      <formula>OR($AV$79=2,$AV$79&gt;3)</formula>
    </cfRule>
  </conditionalFormatting>
  <conditionalFormatting sqref="T26">
    <cfRule type="expression" dxfId="53" priority="29">
      <formula>$AV$79&lt;4</formula>
    </cfRule>
  </conditionalFormatting>
  <conditionalFormatting sqref="V26">
    <cfRule type="cellIs" dxfId="52" priority="28" operator="equal">
      <formula>0</formula>
    </cfRule>
  </conditionalFormatting>
  <conditionalFormatting sqref="V26">
    <cfRule type="expression" dxfId="51" priority="26">
      <formula>$AV$79&lt;4</formula>
    </cfRule>
  </conditionalFormatting>
  <conditionalFormatting sqref="X26">
    <cfRule type="cellIs" dxfId="50" priority="25" operator="equal">
      <formula>0</formula>
    </cfRule>
  </conditionalFormatting>
  <conditionalFormatting sqref="X27:X28">
    <cfRule type="expression" dxfId="49" priority="24">
      <formula>OR($AV$79=2,$AV$79&gt;3)</formula>
    </cfRule>
  </conditionalFormatting>
  <conditionalFormatting sqref="X26">
    <cfRule type="expression" dxfId="48" priority="23">
      <formula>$AV$79&lt;4</formula>
    </cfRule>
  </conditionalFormatting>
  <conditionalFormatting sqref="AA26">
    <cfRule type="cellIs" dxfId="47" priority="22" operator="equal">
      <formula>0</formula>
    </cfRule>
  </conditionalFormatting>
  <conditionalFormatting sqref="AA27:AA28">
    <cfRule type="expression" dxfId="46" priority="21">
      <formula>OR($AV$79=2,$AV$79&gt;3)</formula>
    </cfRule>
  </conditionalFormatting>
  <conditionalFormatting sqref="AA26">
    <cfRule type="expression" dxfId="45" priority="20">
      <formula>$AV$79&lt;4</formula>
    </cfRule>
  </conditionalFormatting>
  <conditionalFormatting sqref="Z26">
    <cfRule type="cellIs" dxfId="44" priority="19" operator="equal">
      <formula>0</formula>
    </cfRule>
  </conditionalFormatting>
  <conditionalFormatting sqref="Z27:Z28">
    <cfRule type="expression" dxfId="43" priority="18">
      <formula>OR($AU$79=2,$AU$79&gt;3)</formula>
    </cfRule>
  </conditionalFormatting>
  <conditionalFormatting sqref="Z26">
    <cfRule type="expression" dxfId="42" priority="17">
      <formula>$AV$79&lt;4</formula>
    </cfRule>
  </conditionalFormatting>
  <conditionalFormatting sqref="AB26">
    <cfRule type="cellIs" dxfId="41" priority="16" operator="equal">
      <formula>0</formula>
    </cfRule>
  </conditionalFormatting>
  <conditionalFormatting sqref="AB27:AB28">
    <cfRule type="expression" dxfId="40" priority="15">
      <formula>OR($AV$79=2,$AV$79&gt;3)</formula>
    </cfRule>
  </conditionalFormatting>
  <conditionalFormatting sqref="AB26">
    <cfRule type="expression" dxfId="39" priority="14">
      <formula>$AV$79&lt;4</formula>
    </cfRule>
  </conditionalFormatting>
  <conditionalFormatting sqref="J50 L50 N50">
    <cfRule type="iconSet" priority="13">
      <iconSet iconSet="3TrafficLights2">
        <cfvo type="percent" val="0"/>
        <cfvo type="percent" val="33"/>
        <cfvo type="percent" val="67"/>
      </iconSet>
    </cfRule>
  </conditionalFormatting>
  <conditionalFormatting sqref="P50 R50 T50">
    <cfRule type="iconSet" priority="12">
      <iconSet iconSet="3TrafficLights2">
        <cfvo type="percent" val="0"/>
        <cfvo type="percent" val="33"/>
        <cfvo type="percent" val="67"/>
      </iconSet>
    </cfRule>
  </conditionalFormatting>
  <conditionalFormatting sqref="V50 X50">
    <cfRule type="iconSet" priority="11">
      <iconSet iconSet="3TrafficLights2">
        <cfvo type="percent" val="0"/>
        <cfvo type="percent" val="33"/>
        <cfvo type="percent" val="67"/>
      </iconSet>
    </cfRule>
  </conditionalFormatting>
  <conditionalFormatting sqref="Z50 AB50">
    <cfRule type="iconSet" priority="10">
      <iconSet iconSet="3TrafficLights2">
        <cfvo type="percent" val="0"/>
        <cfvo type="percent" val="33"/>
        <cfvo type="percent" val="67"/>
      </iconSet>
    </cfRule>
  </conditionalFormatting>
  <conditionalFormatting sqref="V27:V28">
    <cfRule type="expression" dxfId="38" priority="8">
      <formula>OR($AV$79=2,$AV$79&gt;3)</formula>
    </cfRule>
  </conditionalFormatting>
  <conditionalFormatting sqref="H21">
    <cfRule type="expression" dxfId="37" priority="7">
      <formula>OR($AV$79&lt;3,$AV$79&gt;3)</formula>
    </cfRule>
  </conditionalFormatting>
  <conditionalFormatting sqref="W39">
    <cfRule type="cellIs" dxfId="36" priority="6" operator="equal">
      <formula>0</formula>
    </cfRule>
  </conditionalFormatting>
  <conditionalFormatting sqref="W39">
    <cfRule type="expression" dxfId="35" priority="5">
      <formula>$AV$79&lt;4</formula>
    </cfRule>
  </conditionalFormatting>
  <conditionalFormatting sqref="V39">
    <cfRule type="cellIs" dxfId="34" priority="4" operator="equal">
      <formula>0</formula>
    </cfRule>
  </conditionalFormatting>
  <conditionalFormatting sqref="V39">
    <cfRule type="expression" dxfId="33" priority="3">
      <formula>$AV$79&lt;4</formula>
    </cfRule>
  </conditionalFormatting>
  <conditionalFormatting sqref="X39">
    <cfRule type="cellIs" dxfId="32" priority="2" operator="equal">
      <formula>0</formula>
    </cfRule>
  </conditionalFormatting>
  <conditionalFormatting sqref="X39">
    <cfRule type="expression" dxfId="31" priority="1">
      <formula>$AV$79&lt;4</formula>
    </cfRule>
  </conditionalFormatting>
  <dataValidations count="5">
    <dataValidation type="list" allowBlank="1" showInputMessage="1" showErrorMessage="1" sqref="E19 H19">
      <formula1>$BA$83:$BA$87</formula1>
    </dataValidation>
    <dataValidation type="list" allowBlank="1" showInputMessage="1" showErrorMessage="1" sqref="F23:H23">
      <formula1>$AX$83:$AX$100</formula1>
    </dataValidation>
    <dataValidation type="list" allowBlank="1" showInputMessage="1" showErrorMessage="1" sqref="F21:H21">
      <formula1>$AU$83:$AU$123</formula1>
    </dataValidation>
    <dataValidation type="list" allowBlank="1" showInputMessage="1" showErrorMessage="1" sqref="H87">
      <formula1>$AU$70:$AU$72</formula1>
    </dataValidation>
    <dataValidation allowBlank="1" showInputMessage="1" showErrorMessage="1" prompt="The futures price is used to estimate crop revenue insurance payments." sqref="F10:H10"/>
  </dataValidations>
  <pageMargins left="0.45" right="0.51" top="0.53" bottom="0.5" header="0.5" footer="0.5"/>
  <pageSetup scale="70" orientation="landscape" r:id="rId1"/>
  <headerFooter alignWithMargins="0"/>
  <ignoredErrors>
    <ignoredError sqref="X39 E14:G14 E20:X20 F19:G19 I19:X19 E22:X23 E21:G21 I21:X21 E17:X18 E15:G15 I15:X15 E16:G16 I16:X16 I14:X1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RMAData!$A$3:$A$117</xm:f>
          </x14:formula1>
          <xm:sqref>D6:G6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O218"/>
  <sheetViews>
    <sheetView showGridLines="0" topLeftCell="A4" zoomScale="85" zoomScaleNormal="85" workbookViewId="0">
      <selection activeCell="H15" sqref="H15"/>
    </sheetView>
  </sheetViews>
  <sheetFormatPr defaultRowHeight="12.75"/>
  <cols>
    <col min="1" max="1" width="1.140625" style="272" customWidth="1"/>
    <col min="2" max="2" width="1.7109375" style="269" customWidth="1"/>
    <col min="3" max="3" width="39" style="269" customWidth="1"/>
    <col min="4" max="4" width="14" style="269" customWidth="1"/>
    <col min="5" max="5" width="0.85546875" style="273" hidden="1" customWidth="1"/>
    <col min="6" max="6" width="16.7109375" style="269" hidden="1" customWidth="1"/>
    <col min="7" max="7" width="0.85546875" style="273" customWidth="1"/>
    <col min="8" max="8" width="16.85546875" style="269" customWidth="1"/>
    <col min="9" max="9" width="1.7109375" style="268" customWidth="1"/>
    <col min="10" max="10" width="14.28515625" style="269" hidden="1" customWidth="1"/>
    <col min="11" max="11" width="0.85546875" style="276" hidden="1" customWidth="1"/>
    <col min="12" max="12" width="13.5703125" style="269" hidden="1" customWidth="1"/>
    <col min="13" max="13" width="0.85546875" style="268" hidden="1" customWidth="1"/>
    <col min="14" max="14" width="15.140625" style="269" hidden="1" customWidth="1"/>
    <col min="15" max="15" width="1.7109375" style="268" hidden="1" customWidth="1"/>
    <col min="16" max="16" width="14.140625" style="269" hidden="1" customWidth="1"/>
    <col min="17" max="17" width="0.85546875" style="269" hidden="1" customWidth="1"/>
    <col min="18" max="18" width="14.5703125" style="269" hidden="1" customWidth="1"/>
    <col min="19" max="19" width="0.85546875" style="269" hidden="1" customWidth="1"/>
    <col min="20" max="20" width="12.28515625" style="269" hidden="1" customWidth="1"/>
    <col min="21" max="21" width="1.7109375" style="269" hidden="1" customWidth="1"/>
    <col min="22" max="22" width="15.5703125" style="269" hidden="1" customWidth="1"/>
    <col min="23" max="23" width="0.85546875" style="269" hidden="1" customWidth="1"/>
    <col min="24" max="24" width="12.28515625" style="269" hidden="1" customWidth="1"/>
    <col min="25" max="25" width="1.7109375" style="269" hidden="1" customWidth="1"/>
    <col min="26" max="26" width="19" style="269" customWidth="1"/>
    <col min="27" max="27" width="0.85546875" style="269" customWidth="1"/>
    <col min="28" max="28" width="20.140625" style="269" customWidth="1"/>
    <col min="29" max="29" width="0" style="269" hidden="1" customWidth="1"/>
    <col min="30" max="52" width="9.140625" style="269"/>
    <col min="53" max="53" width="34.42578125" style="269" bestFit="1" customWidth="1"/>
    <col min="54" max="62" width="9.140625" style="269"/>
    <col min="63" max="63" width="9.85546875" style="269" bestFit="1" customWidth="1"/>
    <col min="64" max="16384" width="9.140625" style="269"/>
  </cols>
  <sheetData>
    <row r="1" spans="1:35" s="250" customFormat="1" ht="18.75" thickBot="1">
      <c r="A1" s="249"/>
      <c r="C1" s="251" t="s">
        <v>219</v>
      </c>
      <c r="D1" s="251"/>
      <c r="E1" s="251"/>
      <c r="F1" s="251"/>
      <c r="G1" s="251"/>
      <c r="H1" s="251"/>
      <c r="I1" s="251"/>
      <c r="J1" s="251"/>
      <c r="K1" s="251"/>
      <c r="L1" s="251"/>
      <c r="M1" s="251"/>
      <c r="N1" s="251"/>
      <c r="O1" s="251"/>
      <c r="P1" s="251"/>
      <c r="Q1" s="251"/>
      <c r="R1" s="251"/>
      <c r="S1" s="251"/>
      <c r="T1" s="251"/>
      <c r="U1" s="251"/>
      <c r="V1" s="251"/>
      <c r="W1" s="251"/>
      <c r="X1" s="251"/>
      <c r="Y1" s="251"/>
      <c r="Z1" s="251" t="s">
        <v>222</v>
      </c>
      <c r="AA1" s="251"/>
      <c r="AB1" s="251"/>
    </row>
    <row r="2" spans="1:35" s="253" customFormat="1" ht="7.5" customHeight="1" thickTop="1">
      <c r="A2" s="252"/>
    </row>
    <row r="3" spans="1:35" s="264" customFormat="1" ht="15">
      <c r="A3" s="252"/>
      <c r="B3" s="254"/>
      <c r="C3" s="255" t="s">
        <v>218</v>
      </c>
      <c r="D3" s="256"/>
      <c r="E3" s="257"/>
      <c r="F3" s="258"/>
      <c r="G3" s="259"/>
      <c r="H3" s="260"/>
      <c r="I3" s="261"/>
      <c r="J3" s="260"/>
      <c r="K3" s="262"/>
      <c r="L3" s="263"/>
      <c r="M3" s="263"/>
      <c r="N3" s="263"/>
      <c r="O3" s="263"/>
      <c r="P3" s="254"/>
      <c r="Q3" s="254"/>
      <c r="R3" s="254"/>
      <c r="S3" s="254"/>
      <c r="T3" s="254"/>
      <c r="AE3" s="465"/>
    </row>
    <row r="4" spans="1:35" s="264" customFormat="1" ht="15">
      <c r="A4" s="252"/>
      <c r="B4" s="254"/>
      <c r="C4" s="488" t="s">
        <v>209</v>
      </c>
      <c r="D4" s="265"/>
      <c r="E4" s="266"/>
      <c r="F4" s="260"/>
      <c r="G4" s="266"/>
      <c r="H4" s="260"/>
      <c r="I4" s="261"/>
      <c r="J4" s="33"/>
      <c r="K4" s="33"/>
      <c r="L4" s="267"/>
      <c r="M4" s="267"/>
      <c r="N4" s="267"/>
      <c r="O4" s="268"/>
      <c r="P4" s="269"/>
      <c r="Q4" s="269"/>
      <c r="R4" s="269"/>
      <c r="S4" s="269"/>
      <c r="T4" s="269"/>
      <c r="U4" s="269"/>
      <c r="V4" s="269"/>
      <c r="W4" s="269"/>
      <c r="X4" s="269"/>
      <c r="Y4" s="269"/>
      <c r="Z4" s="269"/>
      <c r="AA4" s="269"/>
      <c r="AB4" s="269"/>
      <c r="AC4" s="269"/>
      <c r="AD4" s="270"/>
      <c r="AE4" s="270"/>
      <c r="AF4" s="270"/>
      <c r="AG4" s="270"/>
      <c r="AH4" s="270"/>
      <c r="AI4" s="269"/>
    </row>
    <row r="5" spans="1:35" s="264" customFormat="1" ht="6.75" customHeight="1">
      <c r="A5" s="252"/>
      <c r="B5" s="254"/>
      <c r="C5" s="166"/>
      <c r="D5" s="271"/>
      <c r="E5" s="266"/>
      <c r="F5" s="260"/>
      <c r="G5" s="266"/>
      <c r="H5" s="260"/>
      <c r="I5" s="261"/>
      <c r="J5" s="33"/>
      <c r="K5" s="33"/>
      <c r="L5" s="267"/>
      <c r="M5" s="267"/>
      <c r="N5" s="267"/>
      <c r="O5" s="268"/>
      <c r="P5" s="269"/>
      <c r="Q5" s="269"/>
      <c r="R5" s="269"/>
      <c r="S5" s="269"/>
      <c r="T5" s="269"/>
      <c r="U5" s="269"/>
      <c r="V5" s="269"/>
      <c r="W5" s="269"/>
      <c r="X5" s="269"/>
      <c r="Y5" s="269"/>
      <c r="Z5" s="269"/>
      <c r="AA5" s="269"/>
      <c r="AB5" s="269"/>
      <c r="AC5" s="269"/>
      <c r="AD5" s="270"/>
      <c r="AE5" s="270"/>
      <c r="AF5" s="270"/>
      <c r="AG5" s="270"/>
      <c r="AH5" s="270"/>
      <c r="AI5" s="269"/>
    </row>
    <row r="6" spans="1:35" ht="15">
      <c r="B6" s="273"/>
      <c r="C6" s="167" t="s">
        <v>189</v>
      </c>
      <c r="D6" s="532" t="s">
        <v>42</v>
      </c>
      <c r="E6" s="525"/>
      <c r="F6" s="525"/>
      <c r="G6" s="274"/>
      <c r="H6" s="17"/>
      <c r="I6" s="275"/>
      <c r="L6" s="19"/>
      <c r="M6" s="21"/>
      <c r="AD6" s="270"/>
      <c r="AE6" s="270"/>
      <c r="AF6" s="270"/>
      <c r="AG6" s="270"/>
      <c r="AH6" s="270"/>
    </row>
    <row r="7" spans="1:35" ht="6" customHeight="1" thickBot="1">
      <c r="B7" s="273"/>
      <c r="H7" s="17"/>
      <c r="I7" s="275"/>
      <c r="J7" s="264"/>
      <c r="K7" s="54"/>
      <c r="AD7" s="270"/>
      <c r="AE7" s="270"/>
      <c r="AF7" s="270"/>
      <c r="AG7" s="270"/>
      <c r="AH7" s="270"/>
    </row>
    <row r="8" spans="1:35" ht="18" thickBot="1">
      <c r="B8" s="273"/>
      <c r="C8" s="277" t="s">
        <v>184</v>
      </c>
      <c r="D8" s="278"/>
      <c r="E8" s="279"/>
      <c r="F8" s="120" t="s">
        <v>0</v>
      </c>
      <c r="G8" s="121"/>
      <c r="H8" s="122" t="s">
        <v>1</v>
      </c>
      <c r="I8" s="275"/>
      <c r="J8" s="526" t="s">
        <v>5</v>
      </c>
      <c r="K8" s="527"/>
      <c r="L8" s="527"/>
      <c r="M8" s="527"/>
      <c r="N8" s="528"/>
      <c r="O8" s="111"/>
      <c r="P8" s="526" t="s">
        <v>12</v>
      </c>
      <c r="Q8" s="527"/>
      <c r="R8" s="527"/>
      <c r="S8" s="527"/>
      <c r="T8" s="528"/>
      <c r="U8" s="25"/>
      <c r="V8" s="526" t="s">
        <v>10</v>
      </c>
      <c r="W8" s="527"/>
      <c r="X8" s="528"/>
      <c r="Y8" s="25"/>
      <c r="Z8" s="526" t="s">
        <v>11</v>
      </c>
      <c r="AA8" s="527"/>
      <c r="AB8" s="528"/>
      <c r="AC8" s="280"/>
      <c r="AD8" s="26"/>
      <c r="AE8" s="280"/>
      <c r="AF8" s="280"/>
      <c r="AG8" s="280"/>
      <c r="AH8" s="280"/>
      <c r="AI8" s="22"/>
    </row>
    <row r="9" spans="1:35" ht="15.75" thickTop="1">
      <c r="B9" s="273"/>
      <c r="C9" s="49" t="s">
        <v>191</v>
      </c>
      <c r="D9" s="205"/>
      <c r="E9" s="126"/>
      <c r="F9" s="281">
        <v>5.5</v>
      </c>
      <c r="G9" s="282"/>
      <c r="H9" s="113">
        <v>10</v>
      </c>
      <c r="I9" s="275"/>
      <c r="J9" s="529" t="s">
        <v>186</v>
      </c>
      <c r="K9" s="530"/>
      <c r="L9" s="530"/>
      <c r="M9" s="530"/>
      <c r="N9" s="531"/>
      <c r="O9" s="48"/>
      <c r="P9" s="529" t="s">
        <v>186</v>
      </c>
      <c r="Q9" s="530"/>
      <c r="R9" s="530"/>
      <c r="S9" s="530"/>
      <c r="T9" s="531"/>
      <c r="U9" s="2"/>
      <c r="V9" s="529" t="s">
        <v>186</v>
      </c>
      <c r="W9" s="530"/>
      <c r="X9" s="531"/>
      <c r="Y9" s="4"/>
      <c r="Z9" s="529" t="s">
        <v>186</v>
      </c>
      <c r="AA9" s="530"/>
      <c r="AB9" s="531"/>
      <c r="AC9" s="4"/>
      <c r="AD9" s="270"/>
      <c r="AE9" s="4"/>
      <c r="AF9" s="4"/>
      <c r="AG9" s="4"/>
      <c r="AH9" s="4"/>
      <c r="AI9" s="4"/>
    </row>
    <row r="10" spans="1:35" ht="12.75" customHeight="1">
      <c r="B10" s="273"/>
      <c r="C10" s="49" t="s">
        <v>192</v>
      </c>
      <c r="D10" s="47"/>
      <c r="E10" s="126"/>
      <c r="F10" s="281">
        <v>6</v>
      </c>
      <c r="G10" s="282"/>
      <c r="H10" s="113">
        <v>10</v>
      </c>
      <c r="I10" s="275"/>
      <c r="J10" s="518" t="s">
        <v>194</v>
      </c>
      <c r="K10" s="174"/>
      <c r="L10" s="520" t="s">
        <v>27</v>
      </c>
      <c r="M10" s="69"/>
      <c r="N10" s="522" t="s">
        <v>30</v>
      </c>
      <c r="O10" s="5"/>
      <c r="P10" s="518" t="s">
        <v>32</v>
      </c>
      <c r="Q10" s="174"/>
      <c r="R10" s="520" t="s">
        <v>9</v>
      </c>
      <c r="S10" s="69"/>
      <c r="T10" s="522" t="s">
        <v>33</v>
      </c>
      <c r="U10" s="4"/>
      <c r="V10" s="518" t="s">
        <v>190</v>
      </c>
      <c r="W10" s="145"/>
      <c r="X10" s="522" t="s">
        <v>31</v>
      </c>
      <c r="Y10" s="4"/>
      <c r="Z10" s="537" t="s">
        <v>258</v>
      </c>
      <c r="AA10" s="145"/>
      <c r="AB10" s="538" t="s">
        <v>9</v>
      </c>
      <c r="AC10" s="4"/>
      <c r="AD10" s="270"/>
      <c r="AE10" s="4"/>
      <c r="AF10" s="4"/>
      <c r="AG10" s="4"/>
      <c r="AH10" s="4"/>
      <c r="AI10" s="4"/>
    </row>
    <row r="11" spans="1:35" ht="15">
      <c r="B11" s="273"/>
      <c r="C11" s="283" t="s">
        <v>193</v>
      </c>
      <c r="D11" s="268"/>
      <c r="E11" s="284"/>
      <c r="F11" s="208">
        <f>BB88</f>
        <v>4</v>
      </c>
      <c r="G11" s="21"/>
      <c r="H11" s="209">
        <f>BC88</f>
        <v>9.5399999999999991</v>
      </c>
      <c r="I11" s="275"/>
      <c r="J11" s="519"/>
      <c r="K11" s="174"/>
      <c r="L11" s="521"/>
      <c r="M11" s="69"/>
      <c r="N11" s="523"/>
      <c r="O11" s="7"/>
      <c r="P11" s="519"/>
      <c r="Q11" s="174"/>
      <c r="R11" s="521"/>
      <c r="S11" s="69"/>
      <c r="T11" s="523"/>
      <c r="U11" s="4"/>
      <c r="V11" s="519"/>
      <c r="W11" s="146"/>
      <c r="X11" s="523"/>
      <c r="Y11" s="4"/>
      <c r="Z11" s="519"/>
      <c r="AA11" s="146"/>
      <c r="AB11" s="539"/>
      <c r="AC11" s="4"/>
      <c r="AD11" s="270"/>
      <c r="AE11" s="4"/>
      <c r="AF11" s="4"/>
      <c r="AG11" s="4"/>
      <c r="AH11" s="4"/>
      <c r="AI11" s="4"/>
    </row>
    <row r="12" spans="1:35" ht="23.25" customHeight="1" thickBot="1">
      <c r="B12" s="273"/>
      <c r="C12" s="285" t="s">
        <v>183</v>
      </c>
      <c r="D12" s="268"/>
      <c r="E12" s="284"/>
      <c r="F12" s="286"/>
      <c r="G12" s="287"/>
      <c r="H12" s="288"/>
      <c r="I12" s="275"/>
      <c r="J12" s="56"/>
      <c r="K12" s="175"/>
      <c r="L12" s="58"/>
      <c r="M12" s="175"/>
      <c r="N12" s="203"/>
      <c r="O12" s="175"/>
      <c r="P12" s="56"/>
      <c r="Q12" s="175"/>
      <c r="R12" s="58"/>
      <c r="S12" s="175"/>
      <c r="T12" s="203"/>
      <c r="U12" s="40"/>
      <c r="V12" s="56"/>
      <c r="W12" s="175"/>
      <c r="X12" s="203"/>
      <c r="Y12" s="40"/>
      <c r="Z12" s="56"/>
      <c r="AA12" s="175"/>
      <c r="AB12" s="203"/>
      <c r="AC12" s="2"/>
      <c r="AD12" s="289"/>
      <c r="AE12" s="2"/>
      <c r="AF12" s="2"/>
      <c r="AG12" s="2"/>
      <c r="AH12" s="2"/>
      <c r="AI12" s="2"/>
    </row>
    <row r="13" spans="1:35" ht="15.75" thickTop="1">
      <c r="B13" s="273"/>
      <c r="C13" s="49" t="s">
        <v>171</v>
      </c>
      <c r="D13" s="47"/>
      <c r="E13" s="126"/>
      <c r="F13" s="290">
        <v>180</v>
      </c>
      <c r="G13" s="287"/>
      <c r="H13" s="115">
        <v>50</v>
      </c>
      <c r="J13" s="56"/>
      <c r="K13" s="175"/>
      <c r="L13" s="58"/>
      <c r="M13" s="175"/>
      <c r="N13" s="203"/>
      <c r="O13" s="175"/>
      <c r="P13" s="56"/>
      <c r="Q13" s="175"/>
      <c r="R13" s="58"/>
      <c r="S13" s="175"/>
      <c r="T13" s="203"/>
      <c r="U13" s="40"/>
      <c r="V13" s="56"/>
      <c r="W13" s="175"/>
      <c r="X13" s="203"/>
      <c r="Y13" s="40"/>
      <c r="Z13" s="56"/>
      <c r="AA13" s="175"/>
      <c r="AB13" s="203"/>
      <c r="AC13" s="2"/>
      <c r="AD13" s="291"/>
      <c r="AE13" s="2"/>
      <c r="AF13" s="2"/>
      <c r="AG13" s="2"/>
      <c r="AH13" s="2"/>
      <c r="AI13" s="2"/>
    </row>
    <row r="14" spans="1:35" ht="15" hidden="1">
      <c r="B14" s="273"/>
      <c r="C14" s="34" t="s">
        <v>172</v>
      </c>
      <c r="D14" s="47"/>
      <c r="E14" s="126"/>
      <c r="F14" s="290">
        <v>50</v>
      </c>
      <c r="G14" s="287"/>
      <c r="H14" s="115">
        <v>30</v>
      </c>
      <c r="J14" s="56"/>
      <c r="K14" s="175"/>
      <c r="L14" s="212"/>
      <c r="M14" s="31"/>
      <c r="N14" s="213"/>
      <c r="O14" s="175"/>
      <c r="P14" s="533" t="str">
        <f>IF(F15&lt;'Soybeans Prevented Planting'!BB95,"too soon for prevented planting","")</f>
        <v/>
      </c>
      <c r="Q14" s="175"/>
      <c r="R14" s="212"/>
      <c r="S14" s="31"/>
      <c r="T14" s="213"/>
      <c r="U14" s="40"/>
      <c r="V14" s="56"/>
      <c r="W14" s="175"/>
      <c r="X14" s="213"/>
      <c r="Y14" s="40"/>
      <c r="Z14" s="534" t="str">
        <f ca="1">IF(H15&lt;'Soybeans Prevented Planting'!BC95,"too soon for prevented planting","")</f>
        <v/>
      </c>
      <c r="AA14" s="175"/>
      <c r="AB14" s="213"/>
      <c r="AC14" s="2"/>
      <c r="AD14" s="291"/>
      <c r="AE14" s="2"/>
      <c r="AF14" s="2"/>
      <c r="AG14" s="2"/>
      <c r="AH14" s="2"/>
      <c r="AI14" s="2"/>
    </row>
    <row r="15" spans="1:35" ht="15">
      <c r="B15" s="273"/>
      <c r="C15" s="49" t="s">
        <v>174</v>
      </c>
      <c r="D15" s="47"/>
      <c r="E15" s="126"/>
      <c r="F15" s="461">
        <v>40695</v>
      </c>
      <c r="G15" s="436"/>
      <c r="H15" s="202">
        <v>43647</v>
      </c>
      <c r="J15" s="64"/>
      <c r="K15" s="65"/>
      <c r="L15" s="214">
        <f>F15</f>
        <v>40695</v>
      </c>
      <c r="M15" s="215"/>
      <c r="N15" s="216">
        <f>H15</f>
        <v>43647</v>
      </c>
      <c r="O15" s="293"/>
      <c r="P15" s="533"/>
      <c r="Q15" s="65"/>
      <c r="R15" s="214">
        <f>F15</f>
        <v>40695</v>
      </c>
      <c r="S15" s="215"/>
      <c r="T15" s="216">
        <f>H15</f>
        <v>43647</v>
      </c>
      <c r="U15" s="437"/>
      <c r="V15" s="64"/>
      <c r="W15" s="293"/>
      <c r="X15" s="216">
        <f>H15</f>
        <v>43647</v>
      </c>
      <c r="Y15" s="437"/>
      <c r="Z15" s="534"/>
      <c r="AA15" s="293"/>
      <c r="AB15" s="216">
        <f>H15</f>
        <v>43647</v>
      </c>
      <c r="AD15" s="270"/>
      <c r="AE15" s="270"/>
      <c r="AF15" s="270"/>
      <c r="AG15" s="270"/>
      <c r="AH15" s="270"/>
    </row>
    <row r="16" spans="1:35" ht="15">
      <c r="B16" s="273"/>
      <c r="C16" s="35" t="s">
        <v>195</v>
      </c>
      <c r="D16" s="36"/>
      <c r="E16" s="126"/>
      <c r="F16" s="210" t="e">
        <f>IF(OR(F15&lt;AG83,F15&gt;=AG83+CHOOSE(AH80-1,AH77,AI77)),NA(),VLOOKUP(F15,AG83:AI180,AH80))*F13</f>
        <v>#VALUE!</v>
      </c>
      <c r="G16" s="205"/>
      <c r="H16" s="211">
        <f ca="1">MIN(H13,IF(BB101="Central and North MO",BC117*H13,BE117*H13))</f>
        <v>33.108163265511394</v>
      </c>
      <c r="J16" s="64"/>
      <c r="K16" s="65"/>
      <c r="L16" s="217"/>
      <c r="M16" s="218"/>
      <c r="N16" s="72"/>
      <c r="P16" s="533"/>
      <c r="Q16" s="65"/>
      <c r="R16" s="217"/>
      <c r="S16" s="218"/>
      <c r="T16" s="72"/>
      <c r="V16" s="64"/>
      <c r="W16" s="268"/>
      <c r="X16" s="72"/>
      <c r="Z16" s="534"/>
      <c r="AA16" s="268"/>
      <c r="AB16" s="72"/>
      <c r="AD16" s="270"/>
      <c r="AE16" s="270"/>
      <c r="AF16" s="270"/>
      <c r="AG16" s="270"/>
      <c r="AH16" s="270"/>
    </row>
    <row r="17" spans="1:41" ht="15">
      <c r="B17" s="273"/>
      <c r="C17" s="49" t="s">
        <v>196</v>
      </c>
      <c r="D17" s="268"/>
      <c r="E17" s="284"/>
      <c r="F17" s="286"/>
      <c r="G17" s="287"/>
      <c r="H17" s="288"/>
      <c r="I17" s="275"/>
      <c r="J17" s="64">
        <f>F14</f>
        <v>50</v>
      </c>
      <c r="K17" s="65"/>
      <c r="L17" s="70" t="e">
        <f>F16</f>
        <v>#VALUE!</v>
      </c>
      <c r="M17" s="71"/>
      <c r="N17" s="72">
        <f ca="1">H16</f>
        <v>33.108163265511394</v>
      </c>
      <c r="O17" s="7"/>
      <c r="P17" s="64">
        <v>0</v>
      </c>
      <c r="Q17" s="65"/>
      <c r="R17" s="70" t="e">
        <f>F16</f>
        <v>#VALUE!</v>
      </c>
      <c r="S17" s="71"/>
      <c r="T17" s="72">
        <f ca="1">H16</f>
        <v>33.108163265511394</v>
      </c>
      <c r="U17" s="4"/>
      <c r="V17" s="64">
        <f>H14</f>
        <v>30</v>
      </c>
      <c r="W17" s="6"/>
      <c r="X17" s="72">
        <f ca="1">H16</f>
        <v>33.108163265511394</v>
      </c>
      <c r="Y17" s="4"/>
      <c r="Z17" s="64">
        <v>0</v>
      </c>
      <c r="AA17" s="6"/>
      <c r="AB17" s="72">
        <f ca="1">H16</f>
        <v>33.108163265511394</v>
      </c>
      <c r="AC17" s="294"/>
      <c r="AD17" s="270"/>
      <c r="AE17" s="4"/>
      <c r="AF17" s="4"/>
      <c r="AG17" s="4"/>
      <c r="AH17" s="4"/>
      <c r="AI17" s="4"/>
    </row>
    <row r="18" spans="1:41" ht="23.25" customHeight="1" thickBot="1">
      <c r="C18" s="207" t="s">
        <v>19</v>
      </c>
      <c r="D18" s="46"/>
      <c r="E18" s="127"/>
      <c r="F18" s="123"/>
      <c r="G18" s="124"/>
      <c r="H18" s="125"/>
      <c r="J18" s="64"/>
      <c r="K18" s="65"/>
      <c r="L18" s="217"/>
      <c r="M18" s="218"/>
      <c r="N18" s="72"/>
      <c r="P18" s="64"/>
      <c r="Q18" s="65"/>
      <c r="R18" s="217"/>
      <c r="S18" s="218"/>
      <c r="T18" s="72"/>
      <c r="V18" s="64"/>
      <c r="W18" s="268"/>
      <c r="X18" s="72"/>
      <c r="Z18" s="64"/>
      <c r="AA18" s="268"/>
      <c r="AB18" s="72"/>
      <c r="AD18" s="270"/>
      <c r="AE18" s="270"/>
      <c r="AF18" s="270"/>
      <c r="AG18" s="270"/>
      <c r="AH18" s="270"/>
    </row>
    <row r="19" spans="1:41" ht="27.75" customHeight="1" thickTop="1">
      <c r="C19" s="49" t="s">
        <v>168</v>
      </c>
      <c r="D19" s="205"/>
      <c r="E19" s="536" t="s">
        <v>164</v>
      </c>
      <c r="F19" s="536"/>
      <c r="G19" s="295"/>
      <c r="H19" s="192" t="s">
        <v>164</v>
      </c>
      <c r="J19" s="515" t="str">
        <f>E19</f>
        <v>Revenue Protection</v>
      </c>
      <c r="K19" s="168"/>
      <c r="L19" s="516" t="str">
        <f>E19</f>
        <v>Revenue Protection</v>
      </c>
      <c r="M19" s="219"/>
      <c r="N19" s="517" t="str">
        <f>H19</f>
        <v>Revenue Protection</v>
      </c>
      <c r="O19" s="296"/>
      <c r="P19" s="515" t="str">
        <f>E19</f>
        <v>Revenue Protection</v>
      </c>
      <c r="Q19" s="168"/>
      <c r="R19" s="516" t="str">
        <f>E19</f>
        <v>Revenue Protection</v>
      </c>
      <c r="S19" s="219"/>
      <c r="T19" s="517" t="str">
        <f>H19</f>
        <v>Revenue Protection</v>
      </c>
      <c r="U19" s="438"/>
      <c r="V19" s="515" t="str">
        <f>H19</f>
        <v>Revenue Protection</v>
      </c>
      <c r="W19" s="296"/>
      <c r="X19" s="517" t="str">
        <f>H19</f>
        <v>Revenue Protection</v>
      </c>
      <c r="Y19" s="438"/>
      <c r="Z19" s="515" t="str">
        <f>H19</f>
        <v>Revenue Protection</v>
      </c>
      <c r="AA19" s="296"/>
      <c r="AB19" s="517" t="str">
        <f>H19</f>
        <v>Revenue Protection</v>
      </c>
      <c r="AD19" s="270"/>
      <c r="AE19" s="270"/>
      <c r="AF19" s="270"/>
      <c r="AG19" s="270"/>
      <c r="AH19" s="270"/>
    </row>
    <row r="20" spans="1:41" ht="15">
      <c r="C20" s="204" t="s">
        <v>18</v>
      </c>
      <c r="D20" s="205"/>
      <c r="E20" s="116"/>
      <c r="F20" s="281">
        <v>25</v>
      </c>
      <c r="G20" s="282"/>
      <c r="H20" s="113">
        <v>15</v>
      </c>
      <c r="J20" s="515"/>
      <c r="K20" s="168"/>
      <c r="L20" s="516"/>
      <c r="M20" s="219"/>
      <c r="N20" s="517"/>
      <c r="O20" s="296"/>
      <c r="P20" s="515"/>
      <c r="Q20" s="168"/>
      <c r="R20" s="516"/>
      <c r="S20" s="219"/>
      <c r="T20" s="517"/>
      <c r="U20" s="438"/>
      <c r="V20" s="515"/>
      <c r="W20" s="296"/>
      <c r="X20" s="517"/>
      <c r="Y20" s="438"/>
      <c r="Z20" s="515"/>
      <c r="AA20" s="296"/>
      <c r="AB20" s="517"/>
      <c r="AD20" s="270"/>
      <c r="AE20" s="270"/>
      <c r="AF20" s="270"/>
      <c r="AG20" s="270"/>
      <c r="AH20" s="270"/>
    </row>
    <row r="21" spans="1:41" ht="15">
      <c r="C21" s="49" t="s">
        <v>197</v>
      </c>
      <c r="D21" s="205"/>
      <c r="E21" s="116"/>
      <c r="F21" s="297">
        <v>1</v>
      </c>
      <c r="G21" s="298"/>
      <c r="H21" s="299">
        <v>1</v>
      </c>
      <c r="J21" s="80" t="str">
        <f>IF($AU$79=3,F21,"")</f>
        <v/>
      </c>
      <c r="K21" s="81"/>
      <c r="L21" s="220" t="str">
        <f>IF($AU$79=3,F21,"")</f>
        <v/>
      </c>
      <c r="M21" s="81"/>
      <c r="N21" s="221" t="str">
        <f>IF($AV$79=3,H21,"")</f>
        <v/>
      </c>
      <c r="O21" s="300"/>
      <c r="P21" s="80" t="str">
        <f>IF($AU$79=3,F21,"")</f>
        <v/>
      </c>
      <c r="Q21" s="81"/>
      <c r="R21" s="220" t="str">
        <f>IF($AU$79=3,F21,"")</f>
        <v/>
      </c>
      <c r="S21" s="81"/>
      <c r="T21" s="221" t="str">
        <f>IF($AV$79=3,H21,"")</f>
        <v/>
      </c>
      <c r="U21" s="386"/>
      <c r="V21" s="80" t="str">
        <f>IF($AV$79=3,H21,"")</f>
        <v/>
      </c>
      <c r="W21" s="300"/>
      <c r="X21" s="221" t="str">
        <f>IF($AV$79=3,H21,"")</f>
        <v/>
      </c>
      <c r="Y21" s="386"/>
      <c r="Z21" s="80" t="str">
        <f>IF($AV$79=3,H21,"")</f>
        <v/>
      </c>
      <c r="AA21" s="300"/>
      <c r="AB21" s="221" t="str">
        <f>IF($AV$79=3,H21,"")</f>
        <v/>
      </c>
    </row>
    <row r="22" spans="1:41" ht="15">
      <c r="C22" s="49" t="s">
        <v>173</v>
      </c>
      <c r="D22" s="205"/>
      <c r="E22" s="116"/>
      <c r="F22" s="290">
        <v>160</v>
      </c>
      <c r="G22" s="287"/>
      <c r="H22" s="115">
        <v>45</v>
      </c>
      <c r="J22" s="82">
        <f t="shared" ref="J22:J23" si="0">F22</f>
        <v>160</v>
      </c>
      <c r="K22" s="83"/>
      <c r="L22" s="222">
        <f>F22</f>
        <v>160</v>
      </c>
      <c r="M22" s="223"/>
      <c r="N22" s="224">
        <f>H22</f>
        <v>45</v>
      </c>
      <c r="P22" s="82">
        <f>F22</f>
        <v>160</v>
      </c>
      <c r="Q22" s="83"/>
      <c r="R22" s="222">
        <f>F22</f>
        <v>160</v>
      </c>
      <c r="S22" s="223"/>
      <c r="T22" s="224">
        <f>H22</f>
        <v>45</v>
      </c>
      <c r="V22" s="82">
        <f>H22</f>
        <v>45</v>
      </c>
      <c r="W22" s="268"/>
      <c r="X22" s="224">
        <f>H22</f>
        <v>45</v>
      </c>
      <c r="Z22" s="82">
        <f>H22</f>
        <v>45</v>
      </c>
      <c r="AA22" s="268"/>
      <c r="AB22" s="224">
        <f>H22</f>
        <v>45</v>
      </c>
      <c r="AD22" s="270"/>
      <c r="AE22" s="270"/>
      <c r="AF22" s="270"/>
      <c r="AG22" s="270"/>
      <c r="AH22" s="270"/>
    </row>
    <row r="23" spans="1:41" ht="15">
      <c r="C23" s="204" t="s">
        <v>14</v>
      </c>
      <c r="D23" s="205"/>
      <c r="E23" s="116"/>
      <c r="F23" s="297">
        <v>0.85</v>
      </c>
      <c r="G23" s="298"/>
      <c r="H23" s="118">
        <v>0.75</v>
      </c>
      <c r="J23" s="80">
        <f t="shared" si="0"/>
        <v>0.85</v>
      </c>
      <c r="K23" s="81"/>
      <c r="L23" s="220">
        <f>F23</f>
        <v>0.85</v>
      </c>
      <c r="M23" s="81"/>
      <c r="N23" s="221">
        <f>H23</f>
        <v>0.75</v>
      </c>
      <c r="O23" s="300"/>
      <c r="P23" s="80">
        <f>F23</f>
        <v>0.85</v>
      </c>
      <c r="Q23" s="81"/>
      <c r="R23" s="220">
        <f>F23</f>
        <v>0.85</v>
      </c>
      <c r="S23" s="81"/>
      <c r="T23" s="221">
        <f>H23</f>
        <v>0.75</v>
      </c>
      <c r="U23" s="386"/>
      <c r="V23" s="80">
        <f>H23</f>
        <v>0.75</v>
      </c>
      <c r="W23" s="300"/>
      <c r="X23" s="221">
        <f>H23</f>
        <v>0.75</v>
      </c>
      <c r="Y23" s="386"/>
      <c r="Z23" s="80">
        <f>H23</f>
        <v>0.75</v>
      </c>
      <c r="AA23" s="300"/>
      <c r="AB23" s="221">
        <f>H23</f>
        <v>0.75</v>
      </c>
    </row>
    <row r="24" spans="1:41" ht="15">
      <c r="C24" s="49" t="s">
        <v>15</v>
      </c>
      <c r="D24" s="205"/>
      <c r="E24" s="119"/>
      <c r="F24" s="128">
        <f>IF(AU79=2,"Not Applicable",IF(F15&lt;$BB95,1,IF(F15&gt;($BB95+BB96),0.6,1-(F15-$BB95)/100))*IF(AU79=1,BB83,F23))</f>
        <v>0.51</v>
      </c>
      <c r="G24" s="129"/>
      <c r="H24" s="130">
        <f ca="1">IF(AV79=2,"Not Applicable",IF(H15&lt;$BC95,1,IF(H15&gt;($BC95+BC96),0.6,1-(H15-$BC95)/100))*IF(AV79=1,BB83,H23))</f>
        <v>0.66749999999999998</v>
      </c>
      <c r="J24" s="80">
        <f>F23</f>
        <v>0.85</v>
      </c>
      <c r="K24" s="81"/>
      <c r="L24" s="220">
        <f>F24</f>
        <v>0.51</v>
      </c>
      <c r="M24" s="81"/>
      <c r="N24" s="221">
        <f ca="1">H24</f>
        <v>0.66749999999999998</v>
      </c>
      <c r="O24" s="300"/>
      <c r="P24" s="80">
        <v>0.6</v>
      </c>
      <c r="Q24" s="81"/>
      <c r="R24" s="220">
        <f>F24</f>
        <v>0.51</v>
      </c>
      <c r="S24" s="81"/>
      <c r="T24" s="221">
        <f ca="1">H24</f>
        <v>0.66749999999999998</v>
      </c>
      <c r="U24" s="440"/>
      <c r="V24" s="80">
        <f>H23</f>
        <v>0.75</v>
      </c>
      <c r="W24" s="441"/>
      <c r="X24" s="221">
        <f ca="1">H24</f>
        <v>0.66749999999999998</v>
      </c>
      <c r="Y24" s="440"/>
      <c r="Z24" s="80">
        <v>0.6</v>
      </c>
      <c r="AA24" s="441"/>
      <c r="AB24" s="221">
        <f ca="1">H24</f>
        <v>0.66749999999999998</v>
      </c>
    </row>
    <row r="25" spans="1:41" ht="8.25" customHeight="1">
      <c r="B25" s="273"/>
      <c r="C25" s="301"/>
      <c r="D25" s="268"/>
      <c r="E25" s="276"/>
      <c r="F25" s="268"/>
      <c r="G25" s="276"/>
      <c r="H25" s="302"/>
      <c r="J25" s="225"/>
      <c r="K25" s="226"/>
      <c r="L25" s="227"/>
      <c r="M25" s="228"/>
      <c r="N25" s="229"/>
      <c r="P25" s="225"/>
      <c r="Q25" s="226"/>
      <c r="R25" s="227"/>
      <c r="S25" s="228"/>
      <c r="T25" s="229"/>
      <c r="V25" s="225"/>
      <c r="W25" s="268"/>
      <c r="X25" s="229"/>
      <c r="Z25" s="225"/>
      <c r="AA25" s="268"/>
      <c r="AB25" s="229"/>
    </row>
    <row r="26" spans="1:41" s="4" customFormat="1" ht="12.75" customHeight="1">
      <c r="A26" s="272"/>
      <c r="B26" s="273"/>
      <c r="C26" s="172" t="s">
        <v>176</v>
      </c>
      <c r="D26" s="6"/>
      <c r="E26" s="50"/>
      <c r="F26" s="6"/>
      <c r="G26" s="50"/>
      <c r="H26" s="303"/>
      <c r="I26" s="8"/>
      <c r="J26" s="230" t="str">
        <f>"$"&amp;ROUND(IF($AU$79&gt;3,J22*J24*$BB$88,0),2)&amp;"/acre"</f>
        <v>$544/acre</v>
      </c>
      <c r="K26" s="231"/>
      <c r="L26" s="232" t="str">
        <f>"$"&amp;ROUND(IF($AU$79&gt;3,L22*L24*$BB$88,0),2)&amp;"/acre"</f>
        <v>$326.4/acre</v>
      </c>
      <c r="M26" s="233"/>
      <c r="N26" s="234" t="str">
        <f ca="1">"$"&amp;ROUND(IF($AV$79&gt;3,N22*N24*$BC$88,0),2)&amp;"/acre"</f>
        <v>$286.56/acre</v>
      </c>
      <c r="O26" s="6"/>
      <c r="P26" s="230" t="str">
        <f>"$"&amp;ROUND(IF($AU$79&gt;3,P22*P24*$BB$88,0),2)&amp;"/acre"</f>
        <v>$384/acre</v>
      </c>
      <c r="Q26" s="231"/>
      <c r="R26" s="232" t="str">
        <f>"$"&amp;ROUND(IF($AU$79&gt;3,R22*R24*$BB$88,0),2)&amp;"/acre"</f>
        <v>$326.4/acre</v>
      </c>
      <c r="S26" s="233"/>
      <c r="T26" s="234" t="str">
        <f ca="1">"$"&amp;ROUND(IF($AV$79&gt;3,T22*T24*$BC$88,0),2)&amp;"/acre"</f>
        <v>$286.56/acre</v>
      </c>
      <c r="V26" s="230" t="str">
        <f>"$"&amp;ROUND(IF($AV$79&gt;3,V22*V24*$BC$88,0),2)&amp;"/acre"</f>
        <v>$321.98/acre</v>
      </c>
      <c r="W26" s="442"/>
      <c r="X26" s="234" t="str">
        <f ca="1">"$"&amp;ROUND(IF($AV$79&gt;3,X22*X24*$BC$88,0),2)&amp;"/acre"</f>
        <v>$286.56/acre</v>
      </c>
      <c r="Z26" s="230" t="str">
        <f>"$"&amp;ROUND(IF($AV$79&gt;3,Z22*Z24*$BC$88,0),2)&amp;"/acre"</f>
        <v>$257.58/acre</v>
      </c>
      <c r="AA26" s="442"/>
      <c r="AB26" s="234" t="str">
        <f ca="1">"$"&amp;ROUND(IF($AV$79&gt;3,AB22*AB24*$BC$88,0),2)&amp;"/acre"</f>
        <v>$286.56/acre</v>
      </c>
      <c r="AN26" s="304"/>
    </row>
    <row r="27" spans="1:41" s="19" customFormat="1">
      <c r="A27" s="305"/>
      <c r="B27" s="306"/>
      <c r="C27" s="307" t="s">
        <v>175</v>
      </c>
      <c r="D27" s="21"/>
      <c r="E27" s="30"/>
      <c r="F27" s="21"/>
      <c r="G27" s="30"/>
      <c r="H27" s="308"/>
      <c r="I27" s="21"/>
      <c r="J27" s="235" t="str">
        <f>ROUND(IF($AU$79=1,$BB$83,IF($AU$79=3,J24,0))*J22,1)&amp;" bu/ac"</f>
        <v>0 bu/ac</v>
      </c>
      <c r="K27" s="236"/>
      <c r="L27" s="237" t="str">
        <f>ROUND(IF($AU$79=1,$BB$83,IF($AU$79=3,L23,0))*L22,1)&amp;" bu/ac"</f>
        <v>0 bu/ac</v>
      </c>
      <c r="M27" s="238"/>
      <c r="N27" s="239" t="str">
        <f>ROUND(IF($AV$79=1,$BB$83,IF($AV$79=3,N24,0))*N22,1)&amp;" bu/ac"</f>
        <v>0 bu/ac</v>
      </c>
      <c r="O27" s="238"/>
      <c r="P27" s="235" t="str">
        <f>ROUND(IF($AU$79=1,$BB$83,IF($AU$79=3,P23*0.6,0))*P22,0)&amp;" bu/ac"</f>
        <v>0 bu/ac</v>
      </c>
      <c r="Q27" s="236"/>
      <c r="R27" s="237" t="str">
        <f>ROUND(IF($AU$79=1,$BB$83,IF($AU$79=3,R24,0))*R22,1)&amp;" bu/ac"</f>
        <v>0 bu/ac</v>
      </c>
      <c r="S27" s="238"/>
      <c r="T27" s="239" t="str">
        <f>ROUND(IF($AV$79=1,$BB$83,IF($AV$79=3,T24,0))*T22,0)&amp;" bu/ac"</f>
        <v>0 bu/ac</v>
      </c>
      <c r="U27" s="443"/>
      <c r="V27" s="235" t="str">
        <f>ROUND(IF($AV$79=1,$BB$83,IF($AV$79=3,V24,0))*V22,0)&amp;" bu/ac"</f>
        <v>0 bu/ac</v>
      </c>
      <c r="W27" s="238"/>
      <c r="X27" s="239" t="str">
        <f>ROUND(IF($AV$79=1,$BB$83,IF($AV$79=3,X23,0))*X22,0)&amp;" bu/ac"</f>
        <v>0 bu/ac</v>
      </c>
      <c r="Y27" s="443"/>
      <c r="Z27" s="235" t="str">
        <f>ROUND(IF($AV$79=1,$BB$83,IF($AV$79=3,Z24,0))*Z22,0)&amp;" bu/ac"</f>
        <v>0 bu/ac</v>
      </c>
      <c r="AA27" s="238"/>
      <c r="AB27" s="239" t="str">
        <f>ROUND(IF($AV$79=1,$BB$83,IF($AV$79=3,AB24,0))*AB22,0)&amp;" bu/ac"</f>
        <v>0 bu/ac</v>
      </c>
      <c r="AJ27" s="21"/>
      <c r="AK27" s="21"/>
      <c r="AL27" s="42"/>
      <c r="AN27" s="289"/>
      <c r="AO27" s="42"/>
    </row>
    <row r="28" spans="1:41" s="19" customFormat="1">
      <c r="A28" s="305"/>
      <c r="B28" s="306"/>
      <c r="C28" s="307" t="s">
        <v>177</v>
      </c>
      <c r="D28" s="21"/>
      <c r="E28" s="30"/>
      <c r="F28" s="296"/>
      <c r="G28" s="30"/>
      <c r="H28" s="308"/>
      <c r="I28" s="21"/>
      <c r="J28" s="240" t="str">
        <f>"$"&amp;ROUND(IF($AU$79=1,$BC$83,IF($AU$79=3,J21,0))*$BB$88,2)&amp;"/bushel"</f>
        <v>$0/bushel</v>
      </c>
      <c r="K28" s="241"/>
      <c r="L28" s="242" t="str">
        <f>"$"&amp;ROUND(IF($AU$79=1,$BC$83,IF($AU$79=3,L21,0))*$BB$88,2)&amp;"/bushel"</f>
        <v>$0/bushel</v>
      </c>
      <c r="M28" s="243"/>
      <c r="N28" s="244" t="str">
        <f>"$"&amp;ROUND(IF($AV$79=1,$BC$83,IF($AV$79=3,N21,0))*$BC$88,2)&amp;"/bushel"</f>
        <v>$0/bushel</v>
      </c>
      <c r="O28" s="21"/>
      <c r="P28" s="240" t="str">
        <f>"$"&amp;ROUND(IF($AU$79=1,$BC$83,IF($AU$79=3,P21,0))*$BB$88,2)&amp;"/bushel"</f>
        <v>$0/bushel</v>
      </c>
      <c r="Q28" s="241"/>
      <c r="R28" s="242" t="str">
        <f>"$"&amp;ROUND(IF($AU$79=1,$BC$83,IF($AU$79=3,R21,0))*$BB$88,2)&amp;"/bushel"</f>
        <v>$0/bushel</v>
      </c>
      <c r="S28" s="243"/>
      <c r="T28" s="244" t="str">
        <f>"$"&amp;ROUND(IF($AV$79=1,$BC$83,IF($AV$79=3,T21,0))*$BC$88,2)&amp;"/bushel"</f>
        <v>$0/bushel</v>
      </c>
      <c r="V28" s="240" t="str">
        <f>"$"&amp;ROUND(IF($AV$79=1,$BC$83,IF($AV$79=3,V21,0))*$BC$88,2)&amp;"/bushel"</f>
        <v>$0/bushel</v>
      </c>
      <c r="W28" s="444"/>
      <c r="X28" s="244" t="str">
        <f>"$"&amp;ROUND(IF($AV$79=1,$BC$83,IF($AV$79=3,X21,0))*$BC$88,2)&amp;"/bushel"</f>
        <v>$0/bushel</v>
      </c>
      <c r="Z28" s="240" t="str">
        <f>"$"&amp;ROUND(IF($AV$79=1,$BC$83,IF($AV$79=3,Z21,0))*$BC$88,2)&amp;"/bushel"</f>
        <v>$0/bushel</v>
      </c>
      <c r="AA28" s="444"/>
      <c r="AB28" s="244" t="str">
        <f>"$"&amp;ROUND(IF($AV$79=1,$BC$83,IF($AV$79=3,AB21,0))*$BC$88,2)&amp;"/bushel"</f>
        <v>$0/bushel</v>
      </c>
    </row>
    <row r="29" spans="1:41" s="2" customFormat="1" ht="23.25" customHeight="1" thickBot="1">
      <c r="A29" s="252"/>
      <c r="B29" s="254"/>
      <c r="C29" s="512" t="s">
        <v>29</v>
      </c>
      <c r="D29" s="513"/>
      <c r="E29" s="88"/>
      <c r="F29" s="6"/>
      <c r="G29" s="50"/>
      <c r="H29" s="303"/>
      <c r="I29" s="8"/>
      <c r="J29" s="245"/>
      <c r="K29" s="67"/>
      <c r="L29" s="246"/>
      <c r="M29" s="247"/>
      <c r="N29" s="248"/>
      <c r="O29" s="8"/>
      <c r="P29" s="245"/>
      <c r="Q29" s="67"/>
      <c r="R29" s="246"/>
      <c r="S29" s="247"/>
      <c r="T29" s="248"/>
      <c r="V29" s="245"/>
      <c r="W29" s="8"/>
      <c r="X29" s="248"/>
      <c r="Z29" s="245"/>
      <c r="AA29" s="8"/>
      <c r="AB29" s="248"/>
    </row>
    <row r="30" spans="1:41" s="2" customFormat="1" ht="15.75" thickTop="1">
      <c r="A30" s="272"/>
      <c r="B30" s="273"/>
      <c r="C30" s="204" t="s">
        <v>17</v>
      </c>
      <c r="D30" s="205"/>
      <c r="E30" s="84"/>
      <c r="F30" s="8"/>
      <c r="G30" s="31"/>
      <c r="H30" s="12"/>
      <c r="I30" s="9"/>
      <c r="J30" s="97"/>
      <c r="K30" s="67"/>
      <c r="L30" s="95"/>
      <c r="M30" s="37"/>
      <c r="N30" s="309">
        <v>12</v>
      </c>
      <c r="O30" s="8"/>
      <c r="P30" s="97"/>
      <c r="Q30" s="67"/>
      <c r="R30" s="95"/>
      <c r="S30" s="37"/>
      <c r="T30" s="309">
        <v>12</v>
      </c>
      <c r="V30" s="97"/>
      <c r="W30" s="45"/>
      <c r="X30" s="309"/>
      <c r="Z30" s="428"/>
      <c r="AA30" s="45"/>
      <c r="AB30" s="94"/>
    </row>
    <row r="31" spans="1:41" s="2" customFormat="1" ht="12.75" customHeight="1">
      <c r="A31" s="272"/>
      <c r="B31" s="273"/>
      <c r="C31" s="73" t="s">
        <v>23</v>
      </c>
      <c r="D31" s="46"/>
      <c r="E31" s="77"/>
      <c r="F31" s="205"/>
      <c r="G31" s="84"/>
      <c r="H31" s="12"/>
      <c r="I31" s="8"/>
      <c r="J31" s="310"/>
      <c r="K31" s="67"/>
      <c r="M31" s="247"/>
      <c r="N31" s="311"/>
      <c r="O31" s="8"/>
      <c r="P31" s="310"/>
      <c r="Q31" s="67"/>
      <c r="S31" s="247"/>
      <c r="T31" s="311"/>
      <c r="V31" s="310"/>
      <c r="W31" s="8"/>
      <c r="X31" s="311"/>
      <c r="Z31" s="310"/>
      <c r="AA31" s="8"/>
      <c r="AB31" s="311"/>
    </row>
    <row r="32" spans="1:41" s="2" customFormat="1" ht="12.75" customHeight="1">
      <c r="A32" s="272"/>
      <c r="B32" s="273"/>
      <c r="C32" s="34" t="s">
        <v>181</v>
      </c>
      <c r="D32" s="173"/>
      <c r="E32" s="84"/>
      <c r="F32" s="8"/>
      <c r="G32" s="31"/>
      <c r="H32" s="12"/>
      <c r="I32" s="8"/>
      <c r="J32" s="312"/>
      <c r="K32" s="313"/>
      <c r="L32" s="314">
        <v>63</v>
      </c>
      <c r="M32" s="37"/>
      <c r="N32" s="315">
        <v>39</v>
      </c>
      <c r="O32" s="11"/>
      <c r="P32" s="445">
        <v>5</v>
      </c>
      <c r="Q32" s="313"/>
      <c r="R32" s="314">
        <v>63</v>
      </c>
      <c r="S32" s="37"/>
      <c r="T32" s="315">
        <v>39</v>
      </c>
      <c r="U32" s="31"/>
      <c r="V32" s="312"/>
      <c r="W32" s="62"/>
      <c r="X32" s="315">
        <v>39</v>
      </c>
      <c r="Y32" s="31"/>
      <c r="Z32" s="460">
        <v>5</v>
      </c>
      <c r="AA32" s="62"/>
      <c r="AB32" s="102">
        <v>39</v>
      </c>
      <c r="AD32" s="291"/>
    </row>
    <row r="33" spans="1:31" s="2" customFormat="1" ht="15">
      <c r="A33" s="272"/>
      <c r="B33" s="273"/>
      <c r="C33" s="204" t="s">
        <v>2</v>
      </c>
      <c r="D33" s="205"/>
      <c r="E33" s="84"/>
      <c r="F33" s="8"/>
      <c r="G33" s="31"/>
      <c r="H33" s="12"/>
      <c r="I33" s="8"/>
      <c r="J33" s="316"/>
      <c r="K33" s="313"/>
      <c r="L33" s="95"/>
      <c r="M33" s="37"/>
      <c r="N33" s="309"/>
      <c r="O33" s="11"/>
      <c r="P33" s="98"/>
      <c r="Q33" s="313"/>
      <c r="R33" s="95"/>
      <c r="S33" s="37"/>
      <c r="T33" s="309"/>
      <c r="U33" s="31"/>
      <c r="V33" s="316"/>
      <c r="W33" s="148"/>
      <c r="X33" s="309"/>
      <c r="Y33" s="31"/>
      <c r="Z33" s="99"/>
      <c r="AA33" s="148"/>
      <c r="AB33" s="94"/>
      <c r="AD33" s="291"/>
    </row>
    <row r="34" spans="1:31" s="2" customFormat="1" ht="15">
      <c r="A34" s="272"/>
      <c r="B34" s="273"/>
      <c r="C34" s="49" t="s">
        <v>185</v>
      </c>
      <c r="D34" s="205"/>
      <c r="E34" s="84"/>
      <c r="F34" s="8"/>
      <c r="G34" s="31"/>
      <c r="H34" s="12"/>
      <c r="I34" s="8"/>
      <c r="J34" s="316"/>
      <c r="K34" s="313"/>
      <c r="L34" s="95">
        <v>15</v>
      </c>
      <c r="M34" s="37"/>
      <c r="N34" s="309">
        <v>16</v>
      </c>
      <c r="O34" s="11"/>
      <c r="P34" s="98"/>
      <c r="Q34" s="313"/>
      <c r="R34" s="95">
        <v>15</v>
      </c>
      <c r="S34" s="37"/>
      <c r="T34" s="309"/>
      <c r="U34" s="31"/>
      <c r="V34" s="316"/>
      <c r="W34" s="148"/>
      <c r="X34" s="309">
        <v>13</v>
      </c>
      <c r="Y34" s="31"/>
      <c r="Z34" s="99"/>
      <c r="AA34" s="148"/>
      <c r="AB34" s="94">
        <v>16</v>
      </c>
      <c r="AD34" s="291"/>
    </row>
    <row r="35" spans="1:31" s="2" customFormat="1" ht="15">
      <c r="A35" s="272"/>
      <c r="B35" s="269"/>
      <c r="C35" s="204" t="s">
        <v>3</v>
      </c>
      <c r="D35" s="205"/>
      <c r="E35" s="84"/>
      <c r="F35" s="8"/>
      <c r="G35" s="31"/>
      <c r="H35" s="12"/>
      <c r="I35" s="8"/>
      <c r="J35" s="316"/>
      <c r="K35" s="313"/>
      <c r="L35" s="95">
        <v>3</v>
      </c>
      <c r="M35" s="37"/>
      <c r="N35" s="309">
        <v>5</v>
      </c>
      <c r="O35" s="11"/>
      <c r="P35" s="98">
        <v>2</v>
      </c>
      <c r="Q35" s="313"/>
      <c r="R35" s="95">
        <v>3</v>
      </c>
      <c r="S35" s="37"/>
      <c r="T35" s="309"/>
      <c r="U35" s="31"/>
      <c r="V35" s="316"/>
      <c r="W35" s="148"/>
      <c r="X35" s="309">
        <v>3</v>
      </c>
      <c r="Y35" s="31"/>
      <c r="Z35" s="99">
        <v>2</v>
      </c>
      <c r="AA35" s="148"/>
      <c r="AB35" s="94">
        <v>5</v>
      </c>
      <c r="AD35" s="291"/>
    </row>
    <row r="36" spans="1:31" s="2" customFormat="1" ht="15">
      <c r="A36" s="272"/>
      <c r="B36" s="269"/>
      <c r="C36" s="204" t="s">
        <v>4</v>
      </c>
      <c r="D36" s="205"/>
      <c r="E36" s="84"/>
      <c r="F36" s="8"/>
      <c r="G36" s="31"/>
      <c r="H36" s="12"/>
      <c r="I36" s="8"/>
      <c r="J36" s="96"/>
      <c r="K36" s="39"/>
      <c r="L36" s="95">
        <v>2</v>
      </c>
      <c r="M36" s="37"/>
      <c r="N36" s="309">
        <v>3</v>
      </c>
      <c r="O36" s="10"/>
      <c r="P36" s="98">
        <v>2</v>
      </c>
      <c r="Q36" s="39"/>
      <c r="R36" s="95">
        <v>2</v>
      </c>
      <c r="S36" s="37"/>
      <c r="T36" s="309"/>
      <c r="U36" s="31"/>
      <c r="V36" s="96"/>
      <c r="W36" s="45"/>
      <c r="X36" s="309">
        <v>2</v>
      </c>
      <c r="Y36" s="31"/>
      <c r="Z36" s="99">
        <v>2</v>
      </c>
      <c r="AA36" s="45"/>
      <c r="AB36" s="94">
        <v>3</v>
      </c>
      <c r="AD36" s="291"/>
    </row>
    <row r="37" spans="1:31" s="2" customFormat="1" ht="15">
      <c r="A37" s="272"/>
      <c r="B37" s="269"/>
      <c r="C37" s="506" t="s">
        <v>16</v>
      </c>
      <c r="D37" s="507"/>
      <c r="E37" s="507"/>
      <c r="F37" s="507"/>
      <c r="G37" s="507"/>
      <c r="H37" s="508"/>
      <c r="I37" s="8"/>
      <c r="J37" s="97"/>
      <c r="K37" s="67"/>
      <c r="L37" s="95"/>
      <c r="M37" s="37"/>
      <c r="N37" s="309"/>
      <c r="O37" s="31"/>
      <c r="P37" s="98"/>
      <c r="Q37" s="67"/>
      <c r="R37" s="95"/>
      <c r="S37" s="37"/>
      <c r="T37" s="309"/>
      <c r="U37" s="31"/>
      <c r="V37" s="97"/>
      <c r="W37" s="37"/>
      <c r="X37" s="309"/>
      <c r="Y37" s="31"/>
      <c r="Z37" s="99"/>
      <c r="AA37" s="37"/>
      <c r="AB37" s="94"/>
      <c r="AD37" s="291"/>
    </row>
    <row r="38" spans="1:31" s="319" customFormat="1" ht="15">
      <c r="A38" s="272"/>
      <c r="B38" s="273"/>
      <c r="C38" s="76" t="s">
        <v>24</v>
      </c>
      <c r="D38" s="188" t="s">
        <v>36</v>
      </c>
      <c r="E38" s="85"/>
      <c r="F38" s="317" t="s">
        <v>35</v>
      </c>
      <c r="G38" s="317"/>
      <c r="H38" s="100" t="s">
        <v>1</v>
      </c>
      <c r="I38" s="31"/>
      <c r="J38" s="318"/>
      <c r="K38" s="39"/>
      <c r="L38" s="101"/>
      <c r="M38" s="59"/>
      <c r="N38" s="311"/>
      <c r="O38" s="10"/>
      <c r="P38" s="446"/>
      <c r="Q38" s="39"/>
      <c r="R38" s="101"/>
      <c r="S38" s="59"/>
      <c r="T38" s="311"/>
      <c r="U38" s="31"/>
      <c r="V38" s="318"/>
      <c r="W38" s="148"/>
      <c r="X38" s="311"/>
      <c r="Y38" s="10"/>
      <c r="Z38" s="446"/>
      <c r="AA38" s="148"/>
      <c r="AB38" s="311"/>
      <c r="AD38" s="320"/>
    </row>
    <row r="39" spans="1:31" s="2" customFormat="1" ht="15">
      <c r="A39" s="272"/>
      <c r="B39" s="269"/>
      <c r="C39" s="20" t="s">
        <v>188</v>
      </c>
      <c r="D39" s="196">
        <v>0.25</v>
      </c>
      <c r="E39" s="322"/>
      <c r="F39" s="321">
        <v>0.3</v>
      </c>
      <c r="G39" s="322"/>
      <c r="H39" s="63">
        <v>0.05</v>
      </c>
      <c r="I39" s="8"/>
      <c r="J39" s="98">
        <f>D39*J17</f>
        <v>12.5</v>
      </c>
      <c r="K39" s="59"/>
      <c r="L39" s="95" t="e">
        <f>F39*L17</f>
        <v>#VALUE!</v>
      </c>
      <c r="M39" s="37"/>
      <c r="N39" s="309">
        <f ca="1">H39*N17</f>
        <v>1.6554081632755697</v>
      </c>
      <c r="O39" s="14"/>
      <c r="P39" s="98"/>
      <c r="Q39" s="59"/>
      <c r="R39" s="95" t="e">
        <f>F39*R17</f>
        <v>#VALUE!</v>
      </c>
      <c r="S39" s="37"/>
      <c r="T39" s="309">
        <f ca="1">H39*T17</f>
        <v>1.6554081632755697</v>
      </c>
      <c r="V39" s="98">
        <f>H39*V17</f>
        <v>1.5</v>
      </c>
      <c r="W39" s="62"/>
      <c r="X39" s="309">
        <f ca="1">H39*X17</f>
        <v>1.6554081632755697</v>
      </c>
      <c r="Z39" s="99"/>
      <c r="AA39" s="62"/>
      <c r="AB39" s="234">
        <f ca="1">H39*AB17</f>
        <v>1.6554081632755697</v>
      </c>
      <c r="AD39" s="291"/>
    </row>
    <row r="40" spans="1:31" s="2" customFormat="1" ht="15">
      <c r="A40" s="272"/>
      <c r="B40" s="269"/>
      <c r="C40" s="204" t="s">
        <v>3</v>
      </c>
      <c r="D40" s="205"/>
      <c r="E40" s="84"/>
      <c r="F40" s="8"/>
      <c r="G40" s="31"/>
      <c r="H40" s="12"/>
      <c r="I40" s="8"/>
      <c r="J40" s="98">
        <v>11</v>
      </c>
      <c r="K40" s="313"/>
      <c r="L40" s="95">
        <v>11</v>
      </c>
      <c r="M40" s="37"/>
      <c r="N40" s="309">
        <v>6</v>
      </c>
      <c r="O40" s="11"/>
      <c r="P40" s="98"/>
      <c r="Q40" s="313"/>
      <c r="R40" s="95">
        <v>6</v>
      </c>
      <c r="S40" s="37"/>
      <c r="T40" s="309"/>
      <c r="U40" s="31"/>
      <c r="V40" s="98">
        <v>6</v>
      </c>
      <c r="W40" s="148"/>
      <c r="X40" s="309">
        <v>6</v>
      </c>
      <c r="Y40" s="10"/>
      <c r="Z40" s="99"/>
      <c r="AA40" s="148"/>
      <c r="AB40" s="94">
        <v>6</v>
      </c>
      <c r="AD40" s="291"/>
    </row>
    <row r="41" spans="1:31" s="2" customFormat="1" ht="15">
      <c r="A41" s="272"/>
      <c r="B41" s="269"/>
      <c r="C41" s="204" t="s">
        <v>16</v>
      </c>
      <c r="D41" s="8"/>
      <c r="E41" s="31"/>
      <c r="F41" s="8"/>
      <c r="G41" s="31"/>
      <c r="H41" s="12"/>
      <c r="I41" s="8"/>
      <c r="J41" s="98"/>
      <c r="K41" s="313"/>
      <c r="L41" s="95"/>
      <c r="M41" s="37"/>
      <c r="N41" s="309"/>
      <c r="O41" s="11"/>
      <c r="P41" s="98"/>
      <c r="Q41" s="313"/>
      <c r="R41" s="95"/>
      <c r="S41" s="37"/>
      <c r="T41" s="309"/>
      <c r="U41" s="31"/>
      <c r="V41" s="98"/>
      <c r="W41" s="37"/>
      <c r="X41" s="309"/>
      <c r="Y41" s="10"/>
      <c r="Z41" s="99"/>
      <c r="AA41" s="37"/>
      <c r="AB41" s="94"/>
      <c r="AD41" s="291"/>
    </row>
    <row r="42" spans="1:31" s="330" customFormat="1" ht="12.75" customHeight="1">
      <c r="A42" s="323"/>
      <c r="B42" s="324"/>
      <c r="C42" s="3" t="s">
        <v>4</v>
      </c>
      <c r="D42" s="8"/>
      <c r="E42" s="31"/>
      <c r="F42" s="325"/>
      <c r="G42" s="326"/>
      <c r="H42" s="327"/>
      <c r="I42" s="108"/>
      <c r="J42" s="75">
        <v>15</v>
      </c>
      <c r="K42" s="68"/>
      <c r="L42" s="328">
        <v>15</v>
      </c>
      <c r="M42" s="37"/>
      <c r="N42" s="329">
        <v>10</v>
      </c>
      <c r="O42" s="38"/>
      <c r="P42" s="75"/>
      <c r="Q42" s="68"/>
      <c r="R42" s="328">
        <v>15</v>
      </c>
      <c r="S42" s="37"/>
      <c r="T42" s="329"/>
      <c r="U42" s="41"/>
      <c r="V42" s="75">
        <v>10</v>
      </c>
      <c r="W42" s="37"/>
      <c r="X42" s="447">
        <v>10</v>
      </c>
      <c r="Y42" s="41"/>
      <c r="Z42" s="432"/>
      <c r="AA42" s="37"/>
      <c r="AB42" s="149">
        <v>10</v>
      </c>
      <c r="AD42" s="291"/>
      <c r="AE42" s="2"/>
    </row>
    <row r="43" spans="1:31" s="338" customFormat="1" ht="15.75" thickBot="1">
      <c r="A43" s="331"/>
      <c r="B43" s="332"/>
      <c r="C43" s="152" t="s">
        <v>21</v>
      </c>
      <c r="D43" s="333"/>
      <c r="E43" s="334"/>
      <c r="F43" s="335"/>
      <c r="G43" s="336"/>
      <c r="H43" s="337"/>
      <c r="I43" s="143"/>
      <c r="J43" s="153">
        <f>SUM(J30:J42)</f>
        <v>38.5</v>
      </c>
      <c r="K43" s="154"/>
      <c r="L43" s="110" t="e">
        <f>SUM(L30:L42)</f>
        <v>#VALUE!</v>
      </c>
      <c r="M43" s="154"/>
      <c r="N43" s="107">
        <f ca="1">SUM(N30:N42)</f>
        <v>92.655408163275567</v>
      </c>
      <c r="O43" s="154"/>
      <c r="P43" s="153">
        <f>SUM(P30:P42)</f>
        <v>9</v>
      </c>
      <c r="Q43" s="154"/>
      <c r="R43" s="110" t="e">
        <f>SUM(R30:R42)</f>
        <v>#VALUE!</v>
      </c>
      <c r="S43" s="154"/>
      <c r="T43" s="107">
        <f ca="1">SUM(T30:T42)</f>
        <v>52.655408163275567</v>
      </c>
      <c r="U43" s="155"/>
      <c r="V43" s="153">
        <f>SUM(V32:V42)</f>
        <v>17.5</v>
      </c>
      <c r="W43" s="60"/>
      <c r="X43" s="107">
        <f ca="1">SUM(X32:X42)</f>
        <v>74.655408163275567</v>
      </c>
      <c r="Y43" s="155"/>
      <c r="Z43" s="153">
        <f>SUM(Z32:Z42)</f>
        <v>9</v>
      </c>
      <c r="AA43" s="60"/>
      <c r="AB43" s="107">
        <f ca="1">SUM(AB32:AB42)</f>
        <v>80.655408163275567</v>
      </c>
    </row>
    <row r="44" spans="1:31" s="2" customFormat="1" ht="13.5" thickTop="1">
      <c r="A44" s="272"/>
      <c r="B44" s="269"/>
      <c r="C44" s="339"/>
      <c r="D44" s="325"/>
      <c r="E44" s="326"/>
      <c r="F44" s="8"/>
      <c r="G44" s="31"/>
      <c r="H44" s="12"/>
      <c r="I44" s="8"/>
      <c r="J44" s="57"/>
      <c r="K44" s="39"/>
      <c r="L44" s="340"/>
      <c r="M44" s="341"/>
      <c r="N44" s="342"/>
      <c r="O44" s="39"/>
      <c r="P44" s="57"/>
      <c r="Q44" s="39"/>
      <c r="R44" s="340"/>
      <c r="S44" s="341"/>
      <c r="T44" s="342"/>
      <c r="U44" s="31"/>
      <c r="V44" s="57"/>
      <c r="W44" s="39"/>
      <c r="X44" s="342"/>
      <c r="Y44" s="31"/>
      <c r="Z44" s="57"/>
      <c r="AA44" s="39"/>
      <c r="AB44" s="342"/>
      <c r="AD44" s="291"/>
    </row>
    <row r="45" spans="1:31" s="2" customFormat="1">
      <c r="A45" s="272"/>
      <c r="B45" s="269"/>
      <c r="C45" s="3" t="s">
        <v>20</v>
      </c>
      <c r="D45" s="8"/>
      <c r="E45" s="31"/>
      <c r="F45" s="8"/>
      <c r="G45" s="31"/>
      <c r="H45" s="12"/>
      <c r="I45" s="8"/>
      <c r="J45" s="131">
        <f>J17*$F9</f>
        <v>275</v>
      </c>
      <c r="K45" s="78"/>
      <c r="L45" s="132" t="e">
        <f>L17*$F9</f>
        <v>#VALUE!</v>
      </c>
      <c r="M45" s="133"/>
      <c r="N45" s="79">
        <f ca="1">N17*$H9</f>
        <v>331.08163265511394</v>
      </c>
      <c r="O45" s="133"/>
      <c r="P45" s="131"/>
      <c r="Q45" s="78"/>
      <c r="R45" s="132" t="e">
        <f>R17*F9</f>
        <v>#VALUE!</v>
      </c>
      <c r="S45" s="133"/>
      <c r="T45" s="79">
        <f ca="1">T17*H9</f>
        <v>331.08163265511394</v>
      </c>
      <c r="V45" s="131">
        <f>V17*$H9</f>
        <v>300</v>
      </c>
      <c r="W45" s="14"/>
      <c r="X45" s="79">
        <f ca="1">X17*H9</f>
        <v>331.08163265511394</v>
      </c>
      <c r="Z45" s="131"/>
      <c r="AA45" s="14"/>
      <c r="AB45" s="79">
        <f ca="1">AB17*H9</f>
        <v>331.08163265511394</v>
      </c>
      <c r="AD45" s="291"/>
    </row>
    <row r="46" spans="1:31" s="2" customFormat="1">
      <c r="A46" s="272"/>
      <c r="B46" s="269"/>
      <c r="C46" s="3" t="s">
        <v>7</v>
      </c>
      <c r="D46" s="8"/>
      <c r="E46" s="31"/>
      <c r="F46" s="8"/>
      <c r="G46" s="31"/>
      <c r="H46" s="12"/>
      <c r="I46" s="8"/>
      <c r="J46" s="131">
        <f>CHOOSE($AU$79,J81,0,J83,J84,J85)</f>
        <v>616</v>
      </c>
      <c r="K46" s="78"/>
      <c r="L46" s="132" t="e">
        <f>CHOOSE($AU$79,L81,0,L83,L84,L85)</f>
        <v>#VALUE!</v>
      </c>
      <c r="M46" s="133"/>
      <c r="N46" s="79">
        <f ca="1">IF(AV79=2,J46,IF(0.65*J46&gt;CHOOSE($AV$79,N81,N82,N83,N84,N85),J46,0.35*J46+IF(AU79&gt;2,0.65*F20,0)))</f>
        <v>616</v>
      </c>
      <c r="O46" s="62"/>
      <c r="P46" s="131">
        <f>IF(F15&gt;BB95,0.6*F22*F23*BB88*IF(AU79=3,F21,1),"too early")</f>
        <v>326.39999999999998</v>
      </c>
      <c r="Q46" s="78"/>
      <c r="R46" s="132" t="e">
        <f>CHOOSE($AU$79,R81,0,R83,R84,R85)</f>
        <v>#VALUE!</v>
      </c>
      <c r="S46" s="133"/>
      <c r="T46" s="79">
        <f>IF(T15&gt;BB95+BB96,0.35*P46+IF(T30&gt;0,0.65*F20,0),0)</f>
        <v>130.48999999999998</v>
      </c>
      <c r="V46" s="131"/>
      <c r="W46" s="8"/>
      <c r="X46" s="79"/>
      <c r="Z46" s="131"/>
      <c r="AA46" s="8"/>
      <c r="AB46" s="79"/>
      <c r="AD46" s="289"/>
    </row>
    <row r="47" spans="1:31" s="2" customFormat="1">
      <c r="A47" s="272"/>
      <c r="B47" s="269"/>
      <c r="C47" s="3" t="s">
        <v>6</v>
      </c>
      <c r="D47" s="8"/>
      <c r="E47" s="31"/>
      <c r="F47" s="8"/>
      <c r="G47" s="31"/>
      <c r="H47" s="12"/>
      <c r="I47" s="8"/>
      <c r="J47" s="131"/>
      <c r="K47" s="78"/>
      <c r="L47" s="132"/>
      <c r="M47" s="133"/>
      <c r="N47" s="79">
        <f ca="1">IF(N30&gt;0,IF(CHOOSE($AV$79,N81,N82,N83,N84,N85)&gt;0.65*J46,CHOOSE($AV$79,N81,N82,N83,N84,N85),0),0)</f>
        <v>0</v>
      </c>
      <c r="O47" s="133"/>
      <c r="P47" s="131"/>
      <c r="Q47" s="78"/>
      <c r="R47" s="132"/>
      <c r="S47" s="133"/>
      <c r="T47" s="79">
        <f ca="1">IF(T30&gt;0,CHOOSE($AV$79,T81,T82,T83,T84,T85),0)</f>
        <v>0</v>
      </c>
      <c r="V47" s="131">
        <f>CHOOSE($AV$79,V81,V82,V83,V84,V85)</f>
        <v>51.300000000000011</v>
      </c>
      <c r="W47" s="14"/>
      <c r="X47" s="79">
        <f ca="1">CHOOSE($AV$79,X81,X82,X83,X84,X85)</f>
        <v>21.648122447021308</v>
      </c>
      <c r="Z47" s="131">
        <f ca="1">IF(H15&gt;'Soybeans Prevented Planting'!BC95,0.6*H22*H23*BC88*IF(AV79=3,H21,1),"too early")</f>
        <v>193.18499999999997</v>
      </c>
      <c r="AA47" s="14"/>
      <c r="AB47" s="79">
        <f ca="1">CHOOSE($AV$79,AB81,AB82,AB83,AB84,AB85)</f>
        <v>0</v>
      </c>
      <c r="AD47" s="291"/>
    </row>
    <row r="48" spans="1:31" s="343" customFormat="1" ht="15">
      <c r="A48" s="305"/>
      <c r="B48" s="19"/>
      <c r="C48" s="89" t="s">
        <v>8</v>
      </c>
      <c r="D48" s="90"/>
      <c r="E48" s="91"/>
      <c r="F48" s="90"/>
      <c r="G48" s="91"/>
      <c r="H48" s="92"/>
      <c r="I48" s="21"/>
      <c r="J48" s="134"/>
      <c r="K48" s="135"/>
      <c r="L48" s="136">
        <f>IF(AU79&gt;2,IF(F14&lt;0.9*F22,MIN(SUM(L32:L37),8*BB88*IF(AU79=3,F21,1))),0)</f>
        <v>32</v>
      </c>
      <c r="M48" s="137"/>
      <c r="N48" s="138"/>
      <c r="O48" s="139"/>
      <c r="P48" s="134"/>
      <c r="Q48" s="135"/>
      <c r="R48" s="136"/>
      <c r="S48" s="137"/>
      <c r="T48" s="138"/>
      <c r="U48" s="13"/>
      <c r="V48" s="150"/>
      <c r="W48" s="147"/>
      <c r="X48" s="151">
        <f>IF(AV79&gt;2,IF(H14&lt;0.9*H22,MIN(SUM(N32:N37),3*BC88*IF(AV79=3,H21,1)),0),0)</f>
        <v>28.619999999999997</v>
      </c>
      <c r="Y48" s="13"/>
      <c r="Z48" s="150"/>
      <c r="AA48" s="147"/>
      <c r="AB48" s="151"/>
      <c r="AD48" s="291"/>
      <c r="AE48" s="2"/>
    </row>
    <row r="49" spans="1:31" s="343" customFormat="1" ht="15.75" thickBot="1">
      <c r="A49" s="272"/>
      <c r="B49" s="269"/>
      <c r="C49" s="105" t="s">
        <v>22</v>
      </c>
      <c r="D49" s="103"/>
      <c r="E49" s="104"/>
      <c r="F49" s="103"/>
      <c r="G49" s="104"/>
      <c r="H49" s="106"/>
      <c r="I49" s="109"/>
      <c r="J49" s="140">
        <f>SUM(J45:J48)</f>
        <v>891</v>
      </c>
      <c r="K49" s="141"/>
      <c r="L49" s="142" t="e">
        <f t="shared" ref="L49:X49" si="1">SUM(L45:L48)</f>
        <v>#VALUE!</v>
      </c>
      <c r="M49" s="143"/>
      <c r="N49" s="144">
        <f t="shared" ca="1" si="1"/>
        <v>947.08163265511394</v>
      </c>
      <c r="O49" s="143"/>
      <c r="P49" s="140">
        <f>IF(P46="too early",NA(),SUM(P45:P48))</f>
        <v>326.39999999999998</v>
      </c>
      <c r="Q49" s="141"/>
      <c r="R49" s="142" t="e">
        <f t="shared" si="1"/>
        <v>#VALUE!</v>
      </c>
      <c r="S49" s="143"/>
      <c r="T49" s="144">
        <f t="shared" ca="1" si="1"/>
        <v>461.57163265511394</v>
      </c>
      <c r="U49" s="74"/>
      <c r="V49" s="140">
        <f t="shared" si="1"/>
        <v>351.3</v>
      </c>
      <c r="W49" s="74"/>
      <c r="X49" s="144">
        <f t="shared" ca="1" si="1"/>
        <v>381.34975510213525</v>
      </c>
      <c r="Y49" s="74"/>
      <c r="Z49" s="140">
        <f ca="1">IF(Z47="too early",NA(),SUM(Z45:Z48))</f>
        <v>193.18499999999997</v>
      </c>
      <c r="AA49" s="74"/>
      <c r="AB49" s="144">
        <f ca="1">SUM(AB45:AB48)</f>
        <v>331.08163265511394</v>
      </c>
      <c r="AD49" s="291"/>
      <c r="AE49" s="2"/>
    </row>
    <row r="50" spans="1:31" s="338" customFormat="1" ht="16.5" thickTop="1" thickBot="1">
      <c r="A50" s="331"/>
      <c r="B50" s="332"/>
      <c r="C50" s="156" t="s">
        <v>28</v>
      </c>
      <c r="D50" s="157"/>
      <c r="E50" s="158"/>
      <c r="F50" s="157"/>
      <c r="G50" s="158"/>
      <c r="H50" s="159"/>
      <c r="I50" s="143"/>
      <c r="J50" s="160">
        <f>IF(F15&lt;BB97,NA(),J49-J43)</f>
        <v>852.5</v>
      </c>
      <c r="K50" s="161"/>
      <c r="L50" s="162" t="e">
        <f>IF(F15&lt;BB97,NA(),L49-L43)</f>
        <v>#VALUE!</v>
      </c>
      <c r="M50" s="163"/>
      <c r="N50" s="164">
        <f ca="1">IF(H15&lt;BC97,NA(),N49-N43)</f>
        <v>854.42622449183841</v>
      </c>
      <c r="O50" s="143"/>
      <c r="P50" s="160">
        <f>P49-P43</f>
        <v>317.39999999999998</v>
      </c>
      <c r="Q50" s="161"/>
      <c r="R50" s="162" t="e">
        <f>IF(F15&lt;BB97,NA(),R49-R43)</f>
        <v>#VALUE!</v>
      </c>
      <c r="S50" s="163"/>
      <c r="T50" s="164">
        <f ca="1">IF(H15&lt;BC97,NA(),T49-T43)</f>
        <v>408.91622449183836</v>
      </c>
      <c r="U50" s="165"/>
      <c r="V50" s="160">
        <f>V49-V43</f>
        <v>333.8</v>
      </c>
      <c r="W50" s="165"/>
      <c r="X50" s="164">
        <f ca="1">IF(H15&lt;BC97,NA(),X49-X43)</f>
        <v>306.69434693885967</v>
      </c>
      <c r="Y50" s="165"/>
      <c r="Z50" s="160">
        <f ca="1">Z49-Z43</f>
        <v>184.18499999999997</v>
      </c>
      <c r="AA50" s="165"/>
      <c r="AB50" s="164">
        <f ca="1">IF(H15&lt;BC97,NA(),AB49-AB43)</f>
        <v>250.42622449183835</v>
      </c>
    </row>
    <row r="51" spans="1:31" s="2" customFormat="1">
      <c r="A51" s="272"/>
      <c r="B51" s="269"/>
      <c r="C51" s="43"/>
      <c r="D51" s="24"/>
      <c r="E51" s="86"/>
      <c r="F51" s="8"/>
      <c r="G51" s="31"/>
      <c r="H51" s="8"/>
      <c r="I51" s="8"/>
      <c r="J51" s="44"/>
      <c r="K51" s="61"/>
      <c r="L51" s="44"/>
      <c r="M51" s="44"/>
      <c r="N51" s="16"/>
      <c r="O51" s="16"/>
      <c r="P51" s="16"/>
      <c r="Q51" s="16"/>
      <c r="R51" s="16"/>
      <c r="S51" s="16"/>
      <c r="T51" s="16"/>
      <c r="U51" s="15"/>
      <c r="V51" s="16"/>
      <c r="W51" s="16"/>
      <c r="X51" s="16"/>
      <c r="Y51" s="15"/>
      <c r="Z51" s="16"/>
      <c r="AA51" s="16"/>
      <c r="AB51" s="16"/>
      <c r="AD51" s="291"/>
    </row>
    <row r="52" spans="1:31" ht="14.25">
      <c r="C52" s="280"/>
      <c r="D52" s="280"/>
      <c r="E52" s="344"/>
      <c r="J52" s="345"/>
      <c r="K52" s="346"/>
      <c r="L52" s="345"/>
      <c r="M52" s="43"/>
      <c r="N52" s="345"/>
      <c r="O52" s="43"/>
      <c r="P52" s="345"/>
      <c r="Q52" s="345"/>
      <c r="R52" s="345"/>
      <c r="S52" s="345"/>
      <c r="T52" s="345"/>
      <c r="U52" s="345"/>
      <c r="V52" s="345"/>
      <c r="W52" s="345"/>
      <c r="X52" s="345"/>
      <c r="Y52" s="345"/>
      <c r="Z52" s="345"/>
      <c r="AA52" s="345"/>
      <c r="AB52" s="345"/>
      <c r="AD52" s="291"/>
      <c r="AE52" s="2"/>
    </row>
    <row r="53" spans="1:31" ht="14.25">
      <c r="C53" s="280"/>
      <c r="D53" s="280"/>
      <c r="E53" s="344"/>
      <c r="J53" s="347"/>
      <c r="K53" s="348"/>
      <c r="L53" s="347"/>
      <c r="M53" s="349"/>
      <c r="N53" s="347"/>
      <c r="R53" s="448"/>
      <c r="S53" s="448"/>
      <c r="T53" s="347"/>
      <c r="V53" s="347"/>
      <c r="W53" s="347"/>
      <c r="X53" s="347"/>
      <c r="AB53" s="448"/>
      <c r="AD53" s="291"/>
      <c r="AE53" s="2"/>
    </row>
    <row r="54" spans="1:31" ht="14.25">
      <c r="C54" s="280"/>
      <c r="D54" s="280"/>
      <c r="E54" s="344"/>
      <c r="AD54" s="291"/>
      <c r="AE54" s="2"/>
    </row>
    <row r="55" spans="1:31" s="350" customFormat="1" ht="14.25">
      <c r="A55" s="272"/>
      <c r="C55" s="351"/>
      <c r="D55" s="351"/>
      <c r="E55" s="351"/>
      <c r="I55" s="354"/>
      <c r="J55" s="352"/>
      <c r="K55" s="30"/>
      <c r="M55" s="354"/>
      <c r="O55" s="354"/>
      <c r="AD55" s="355"/>
      <c r="AE55" s="356"/>
    </row>
    <row r="56" spans="1:31">
      <c r="AD56" s="291"/>
      <c r="AE56" s="2"/>
    </row>
    <row r="57" spans="1:31">
      <c r="AD57" s="291"/>
      <c r="AE57" s="2"/>
    </row>
    <row r="58" spans="1:31">
      <c r="AD58" s="291"/>
      <c r="AE58" s="2"/>
    </row>
    <row r="59" spans="1:31">
      <c r="AD59" s="291"/>
      <c r="AE59" s="2"/>
    </row>
    <row r="60" spans="1:31">
      <c r="AD60" s="291"/>
      <c r="AE60" s="2"/>
    </row>
    <row r="61" spans="1:31">
      <c r="AD61" s="291"/>
      <c r="AE61" s="2"/>
    </row>
    <row r="62" spans="1:31">
      <c r="AD62" s="291"/>
      <c r="AE62" s="2"/>
    </row>
    <row r="63" spans="1:31">
      <c r="AD63" s="291"/>
      <c r="AE63" s="2"/>
    </row>
    <row r="64" spans="1:31">
      <c r="AD64" s="291"/>
      <c r="AE64" s="2"/>
    </row>
    <row r="65" spans="1:56">
      <c r="AD65" s="291"/>
      <c r="AE65" s="2"/>
    </row>
    <row r="66" spans="1:56">
      <c r="B66" s="17"/>
      <c r="AD66" s="291"/>
      <c r="AE66" s="2"/>
    </row>
    <row r="67" spans="1:56" s="357" customFormat="1">
      <c r="A67" s="272"/>
      <c r="B67" s="276"/>
      <c r="AD67" s="358"/>
    </row>
    <row r="68" spans="1:56" s="19" customFormat="1">
      <c r="A68" s="272"/>
      <c r="B68" s="276"/>
      <c r="AD68" s="291"/>
      <c r="AE68" s="2"/>
    </row>
    <row r="69" spans="1:56" s="19" customFormat="1">
      <c r="A69" s="305"/>
      <c r="B69" s="306"/>
      <c r="C69" s="52"/>
      <c r="D69" s="52"/>
      <c r="E69" s="52"/>
      <c r="F69" s="30"/>
      <c r="G69" s="30"/>
      <c r="H69" s="30"/>
      <c r="I69" s="30"/>
      <c r="J69" s="30"/>
      <c r="K69" s="30"/>
      <c r="L69" s="30"/>
      <c r="M69" s="30"/>
      <c r="N69" s="30"/>
      <c r="O69" s="30"/>
      <c r="P69" s="30"/>
      <c r="Q69" s="30"/>
      <c r="R69" s="30"/>
      <c r="S69" s="30"/>
      <c r="T69" s="30"/>
      <c r="U69" s="30"/>
      <c r="V69" s="30"/>
      <c r="W69" s="30"/>
      <c r="X69" s="30"/>
      <c r="Y69" s="30"/>
      <c r="Z69" s="30"/>
      <c r="AA69" s="30"/>
      <c r="AB69" s="30"/>
      <c r="AC69" s="30"/>
      <c r="AD69" s="291"/>
      <c r="AE69" s="2"/>
      <c r="AF69" s="269"/>
      <c r="AP69" s="269"/>
      <c r="AQ69" s="269"/>
      <c r="AR69" s="269"/>
      <c r="AS69" s="269"/>
      <c r="AT69" s="269"/>
      <c r="AU69" s="269"/>
    </row>
    <row r="70" spans="1:56" s="19" customFormat="1" ht="14.25">
      <c r="A70" s="305"/>
      <c r="B70" s="306"/>
      <c r="C70" s="53"/>
      <c r="D70" s="53"/>
      <c r="E70" s="53"/>
      <c r="F70" s="30"/>
      <c r="G70" s="30"/>
      <c r="H70" s="30"/>
      <c r="I70" s="30"/>
      <c r="J70" s="30"/>
      <c r="K70" s="30"/>
      <c r="L70" s="30"/>
      <c r="M70" s="30"/>
      <c r="N70" s="30"/>
      <c r="O70" s="30"/>
      <c r="P70" s="30"/>
      <c r="Q70" s="30"/>
      <c r="R70" s="30"/>
      <c r="S70" s="30"/>
      <c r="T70" s="30"/>
      <c r="U70" s="30"/>
      <c r="V70" s="30"/>
      <c r="W70" s="30"/>
      <c r="X70" s="30"/>
      <c r="Y70" s="30"/>
      <c r="Z70" s="30"/>
      <c r="AA70" s="30"/>
      <c r="AB70" s="30"/>
      <c r="AC70" s="30"/>
      <c r="AD70" s="291"/>
      <c r="AE70" s="2"/>
      <c r="AF70" s="269"/>
      <c r="AG70" s="269"/>
      <c r="AH70" s="269"/>
      <c r="AI70" s="269"/>
      <c r="AJ70" s="269"/>
      <c r="AK70" s="269"/>
      <c r="AL70" s="269"/>
      <c r="AM70" s="269"/>
      <c r="AO70" s="269"/>
      <c r="AP70" s="269"/>
      <c r="AQ70" s="269"/>
      <c r="AR70" s="269"/>
      <c r="AS70" s="269"/>
      <c r="AT70" s="26"/>
      <c r="AU70" s="359"/>
      <c r="AV70" s="359"/>
      <c r="AW70" s="26"/>
    </row>
    <row r="71" spans="1:56" s="264" customFormat="1">
      <c r="A71" s="252"/>
      <c r="B71" s="254"/>
      <c r="C71" s="509"/>
      <c r="D71" s="509"/>
      <c r="E71" s="509"/>
      <c r="F71" s="509"/>
      <c r="G71" s="206"/>
      <c r="H71" s="54"/>
      <c r="I71" s="54"/>
      <c r="J71" s="54"/>
      <c r="K71" s="54"/>
      <c r="L71" s="360"/>
      <c r="M71" s="360"/>
      <c r="N71" s="54"/>
      <c r="O71" s="54"/>
      <c r="P71" s="54"/>
      <c r="Q71" s="54"/>
      <c r="R71" s="54"/>
      <c r="S71" s="54"/>
      <c r="T71" s="54"/>
      <c r="U71" s="54"/>
      <c r="V71" s="54"/>
      <c r="W71" s="54"/>
      <c r="X71" s="54"/>
      <c r="Y71" s="54"/>
      <c r="Z71" s="54"/>
      <c r="AA71" s="54"/>
      <c r="AB71" s="54"/>
      <c r="AC71" s="54"/>
      <c r="AD71" s="291"/>
      <c r="AE71" s="2"/>
      <c r="AF71" s="269"/>
      <c r="AG71" s="269"/>
      <c r="AH71" s="269"/>
      <c r="AI71" s="269"/>
      <c r="AJ71" s="269"/>
      <c r="AK71" s="269"/>
      <c r="AL71" s="269"/>
      <c r="AM71" s="269"/>
      <c r="AO71" s="269"/>
      <c r="AP71" s="269"/>
      <c r="AQ71" s="269"/>
      <c r="AR71" s="269"/>
      <c r="AT71" s="270"/>
      <c r="AU71" s="359"/>
      <c r="AV71" s="359"/>
      <c r="AW71" s="270"/>
      <c r="BD71" s="269"/>
    </row>
    <row r="72" spans="1:56">
      <c r="B72" s="273"/>
      <c r="C72" s="276"/>
      <c r="D72" s="276"/>
      <c r="E72" s="276"/>
      <c r="F72" s="276"/>
      <c r="G72" s="276"/>
      <c r="H72" s="276"/>
      <c r="I72" s="276"/>
      <c r="J72" s="276"/>
      <c r="L72" s="276"/>
      <c r="M72" s="276"/>
      <c r="N72" s="276"/>
      <c r="O72" s="276"/>
      <c r="P72" s="276"/>
      <c r="Q72" s="276"/>
      <c r="R72" s="276"/>
      <c r="S72" s="276"/>
      <c r="T72" s="276"/>
      <c r="U72" s="276"/>
      <c r="V72" s="276"/>
      <c r="W72" s="276"/>
      <c r="X72" s="276"/>
      <c r="Y72" s="276"/>
      <c r="Z72" s="276"/>
      <c r="AA72" s="276"/>
      <c r="AB72" s="276"/>
      <c r="AC72" s="276"/>
      <c r="AD72" s="291"/>
      <c r="AE72" s="2"/>
      <c r="AK72" s="264"/>
      <c r="AT72" s="270"/>
      <c r="AU72" s="359"/>
      <c r="AV72" s="359"/>
      <c r="AW72" s="270"/>
    </row>
    <row r="73" spans="1:56">
      <c r="B73" s="273"/>
      <c r="C73" s="276"/>
      <c r="D73" s="276"/>
      <c r="E73" s="276"/>
      <c r="F73" s="276"/>
      <c r="G73" s="276"/>
      <c r="H73" s="276"/>
      <c r="I73" s="276"/>
      <c r="J73" s="276"/>
      <c r="L73" s="276"/>
      <c r="M73" s="276"/>
      <c r="N73" s="276"/>
      <c r="O73" s="276"/>
      <c r="P73" s="276"/>
      <c r="Q73" s="276"/>
      <c r="R73" s="276"/>
      <c r="S73" s="276"/>
      <c r="T73" s="276"/>
      <c r="U73" s="276"/>
      <c r="V73" s="276"/>
      <c r="W73" s="276"/>
      <c r="X73" s="276"/>
      <c r="Y73" s="276"/>
      <c r="Z73" s="276"/>
      <c r="AA73" s="276"/>
      <c r="AB73" s="276"/>
      <c r="AC73" s="276"/>
      <c r="AD73" s="291"/>
      <c r="AE73" s="2"/>
      <c r="AH73" s="361"/>
      <c r="AK73" s="264"/>
      <c r="AT73" s="270"/>
      <c r="AU73" s="359"/>
      <c r="AV73" s="359"/>
      <c r="AW73" s="270"/>
    </row>
    <row r="74" spans="1:56">
      <c r="B74" s="273"/>
      <c r="C74" s="276"/>
      <c r="D74" s="276"/>
      <c r="E74" s="276"/>
      <c r="F74" s="276"/>
      <c r="G74" s="276"/>
      <c r="H74" s="276"/>
      <c r="I74" s="276"/>
      <c r="J74" s="276"/>
      <c r="L74" s="276"/>
      <c r="M74" s="276"/>
      <c r="N74" s="276"/>
      <c r="O74" s="276"/>
      <c r="P74" s="276"/>
      <c r="Q74" s="276"/>
      <c r="R74" s="276"/>
      <c r="S74" s="276"/>
      <c r="T74" s="276"/>
      <c r="U74" s="276"/>
      <c r="V74" s="276"/>
      <c r="W74" s="276"/>
      <c r="X74" s="276"/>
      <c r="Y74" s="276"/>
      <c r="Z74" s="276"/>
      <c r="AA74" s="276"/>
      <c r="AB74" s="276"/>
      <c r="AC74" s="276"/>
      <c r="AD74" s="291"/>
      <c r="AE74" s="2"/>
      <c r="AH74" s="361"/>
      <c r="AS74" s="363"/>
      <c r="AT74" s="363"/>
      <c r="AU74" s="179"/>
      <c r="AV74" s="364"/>
      <c r="AW74" s="363"/>
      <c r="AX74" s="363"/>
      <c r="BD74" s="268"/>
    </row>
    <row r="75" spans="1:56">
      <c r="B75" s="273"/>
      <c r="C75" s="365"/>
      <c r="D75" s="365"/>
      <c r="E75" s="365"/>
      <c r="F75" s="366"/>
      <c r="G75" s="366"/>
      <c r="H75" s="366"/>
      <c r="I75" s="366"/>
      <c r="J75" s="366"/>
      <c r="K75" s="366"/>
      <c r="L75" s="366"/>
      <c r="M75" s="366"/>
      <c r="N75" s="366"/>
      <c r="O75" s="276"/>
      <c r="P75" s="276"/>
      <c r="Q75" s="276"/>
      <c r="R75" s="276"/>
      <c r="S75" s="276"/>
      <c r="T75" s="276"/>
      <c r="U75" s="366"/>
      <c r="V75" s="366"/>
      <c r="W75" s="366"/>
      <c r="X75" s="276"/>
      <c r="Y75" s="276"/>
      <c r="Z75" s="276"/>
      <c r="AA75" s="276"/>
      <c r="AB75" s="276"/>
      <c r="AC75" s="276"/>
      <c r="AD75" s="291"/>
      <c r="AE75" s="2"/>
      <c r="AG75" s="345"/>
      <c r="AH75" s="345"/>
      <c r="AI75" s="345"/>
      <c r="AJ75" s="345"/>
      <c r="AK75" s="345"/>
      <c r="AL75" s="345"/>
      <c r="AM75" s="345"/>
      <c r="AN75" s="345"/>
      <c r="AO75" s="345"/>
      <c r="AS75" s="367"/>
      <c r="AT75" s="363"/>
      <c r="AU75" s="363"/>
      <c r="AV75" s="363"/>
      <c r="AW75" s="363"/>
      <c r="AX75" s="363"/>
      <c r="BD75" s="268"/>
    </row>
    <row r="76" spans="1:56" ht="12.75" customHeight="1">
      <c r="B76" s="273"/>
      <c r="AD76" s="291"/>
      <c r="AE76" s="2"/>
      <c r="AH76" s="361"/>
      <c r="AS76" s="363"/>
      <c r="AT76" s="363"/>
      <c r="AV76" s="363"/>
      <c r="AW76" s="363"/>
      <c r="AX76" s="363"/>
      <c r="BD76" s="268"/>
    </row>
    <row r="77" spans="1:56">
      <c r="B77" s="273"/>
      <c r="AD77" s="291"/>
      <c r="AE77" s="2"/>
      <c r="AG77" s="19"/>
      <c r="AH77" s="368"/>
      <c r="AI77" s="368"/>
      <c r="AO77" s="19"/>
      <c r="AP77" s="368"/>
      <c r="AQ77" s="368"/>
      <c r="AS77" s="363"/>
      <c r="AT77" s="363"/>
      <c r="AU77" s="369" t="s">
        <v>206</v>
      </c>
      <c r="AV77" s="363"/>
      <c r="AW77" s="363"/>
      <c r="AX77" s="363"/>
      <c r="BD77" s="268"/>
    </row>
    <row r="78" spans="1:56" ht="12.75" customHeight="1">
      <c r="B78" s="273"/>
      <c r="AD78" s="291"/>
      <c r="AE78" s="2"/>
      <c r="AH78" s="361"/>
      <c r="AS78" s="363"/>
      <c r="AT78" s="363"/>
      <c r="AU78" s="372" t="s">
        <v>0</v>
      </c>
      <c r="AV78" s="372" t="s">
        <v>1</v>
      </c>
      <c r="AW78" s="363"/>
      <c r="AX78" s="363"/>
      <c r="BD78" s="268"/>
    </row>
    <row r="79" spans="1:56">
      <c r="AD79" s="291"/>
      <c r="AE79" s="2"/>
      <c r="AH79" s="361"/>
      <c r="AK79" s="370"/>
      <c r="AS79" s="363"/>
      <c r="AT79" s="363"/>
      <c r="AU79" s="372">
        <f>MATCH(E19,BA83:BA87,0)</f>
        <v>4</v>
      </c>
      <c r="AV79" s="374">
        <f>MATCH(H19,BA83:BA87,0)</f>
        <v>4</v>
      </c>
      <c r="AW79" s="363"/>
      <c r="AX79" s="363"/>
    </row>
    <row r="80" spans="1:56" ht="15" thickBot="1">
      <c r="C80" s="30" t="s">
        <v>162</v>
      </c>
      <c r="D80" s="280"/>
      <c r="E80" s="344"/>
      <c r="J80" s="345"/>
      <c r="K80" s="346"/>
      <c r="L80" s="345"/>
      <c r="M80" s="43"/>
      <c r="N80" s="345"/>
      <c r="O80" s="43"/>
      <c r="P80" s="345"/>
      <c r="Q80" s="345"/>
      <c r="R80" s="345"/>
      <c r="S80" s="345"/>
      <c r="T80" s="345"/>
      <c r="U80" s="345"/>
      <c r="V80" s="345"/>
      <c r="W80" s="345"/>
      <c r="X80" s="345"/>
      <c r="Y80" s="345"/>
      <c r="Z80" s="345"/>
      <c r="AA80" s="345"/>
      <c r="AB80" s="345"/>
      <c r="AD80" s="291"/>
      <c r="AE80" s="2"/>
      <c r="AT80" s="270"/>
      <c r="AU80" s="270"/>
      <c r="AV80" s="270"/>
      <c r="AW80" s="270"/>
      <c r="BD80" s="268"/>
    </row>
    <row r="81" spans="1:67" s="4" customFormat="1" ht="14.25">
      <c r="A81" s="305"/>
      <c r="B81" s="19"/>
      <c r="C81" s="30" t="s">
        <v>163</v>
      </c>
      <c r="D81" s="280"/>
      <c r="E81" s="344"/>
      <c r="F81" s="269"/>
      <c r="G81" s="273"/>
      <c r="H81" s="269"/>
      <c r="I81" s="268"/>
      <c r="J81" s="332">
        <f>MAX((F22*$BB$83-J17)*$BB$88*$BC$83,0)</f>
        <v>66</v>
      </c>
      <c r="K81" s="375"/>
      <c r="L81" s="332" t="e">
        <f>MAX(($F$22*0.5-L17)*BB88*BC83,0)</f>
        <v>#VALUE!</v>
      </c>
      <c r="M81" s="376"/>
      <c r="N81" s="332">
        <f ca="1">MAX(($H$22*(0.5*H24)-N17)*BC88,0)</f>
        <v>0</v>
      </c>
      <c r="O81" s="268"/>
      <c r="P81" s="269"/>
      <c r="Q81" s="269"/>
      <c r="R81" s="449" t="e">
        <f>MAX(($F$22*BB83*IF(F15&lt;$BB95,1,IF(F15&gt;($BB95+BB96),0.6,1-(F15-$BB95)/100))-R17)*BB88*BC83,0)</f>
        <v>#VALUE!</v>
      </c>
      <c r="S81" s="449"/>
      <c r="T81" s="332">
        <f ca="1">MAX(($H$22*(0.5*$H$24)-T17)*BC88,0)</f>
        <v>0</v>
      </c>
      <c r="U81" s="269"/>
      <c r="V81" s="332">
        <f>MAX(($H$22*0.5-V17)*BC88,0)</f>
        <v>0</v>
      </c>
      <c r="W81" s="332"/>
      <c r="X81" s="332">
        <f ca="1">MAX(($H$22*0.5-X17)*BC88,0)</f>
        <v>0</v>
      </c>
      <c r="Y81" s="269"/>
      <c r="Z81" s="269"/>
      <c r="AA81" s="269"/>
      <c r="AB81" s="449">
        <f ca="1">MAX((H22*BB83*IF(H15&lt;$BC95,1,IF(H15&gt;($BC95+BC96),0.6,1-(H15-$BC95)/100))-AB17)*BC88*BC83,0)</f>
        <v>0</v>
      </c>
      <c r="AC81" s="269"/>
      <c r="AD81" s="291"/>
      <c r="AE81" s="2"/>
      <c r="AF81" s="269"/>
      <c r="AG81" s="269"/>
      <c r="AH81" s="269"/>
      <c r="AI81" s="269"/>
      <c r="AJ81" s="269"/>
      <c r="AK81" s="269"/>
      <c r="AL81" s="269"/>
      <c r="AM81" s="269"/>
      <c r="AO81" s="269"/>
      <c r="AP81" s="269"/>
      <c r="AQ81" s="269"/>
      <c r="AR81" s="269"/>
      <c r="AS81" s="269"/>
      <c r="AT81" s="269"/>
      <c r="AU81" s="269"/>
      <c r="AZ81" s="377"/>
      <c r="BA81" s="378"/>
      <c r="BB81" s="379"/>
      <c r="BC81" s="380"/>
      <c r="BD81" s="291"/>
    </row>
    <row r="82" spans="1:67" s="4" customFormat="1" ht="12.75" customHeight="1">
      <c r="A82" s="381"/>
      <c r="C82" s="30" t="s">
        <v>166</v>
      </c>
      <c r="D82" s="280"/>
      <c r="E82" s="344"/>
      <c r="F82" s="269"/>
      <c r="G82" s="273"/>
      <c r="H82" s="269"/>
      <c r="I82" s="268"/>
      <c r="J82" s="332">
        <v>0</v>
      </c>
      <c r="K82" s="375"/>
      <c r="L82" s="332">
        <v>0</v>
      </c>
      <c r="M82" s="376"/>
      <c r="N82" s="332">
        <v>0</v>
      </c>
      <c r="O82" s="268"/>
      <c r="P82" s="269"/>
      <c r="Q82" s="269"/>
      <c r="R82" s="449">
        <v>0</v>
      </c>
      <c r="S82" s="449"/>
      <c r="T82" s="332">
        <v>0</v>
      </c>
      <c r="U82" s="269"/>
      <c r="V82" s="332">
        <v>0</v>
      </c>
      <c r="W82" s="332"/>
      <c r="X82" s="332">
        <v>0</v>
      </c>
      <c r="Y82" s="269"/>
      <c r="Z82" s="269"/>
      <c r="AA82" s="269"/>
      <c r="AB82" s="449">
        <v>0</v>
      </c>
      <c r="AC82" s="269"/>
      <c r="AD82" s="291"/>
      <c r="AE82" s="2"/>
      <c r="AF82" s="269"/>
      <c r="AG82" s="269"/>
      <c r="AH82" s="269"/>
      <c r="AI82" s="269"/>
      <c r="AJ82" s="269"/>
      <c r="AK82" s="269"/>
      <c r="AL82" s="269"/>
      <c r="AM82" s="269"/>
      <c r="AO82" s="269"/>
      <c r="AP82" s="269"/>
      <c r="AQ82" s="269"/>
      <c r="AR82" s="269"/>
      <c r="AS82" s="269"/>
      <c r="AT82" s="269"/>
      <c r="AU82" s="19" t="s">
        <v>169</v>
      </c>
      <c r="AX82" s="19" t="s">
        <v>170</v>
      </c>
      <c r="BA82" s="307" t="s">
        <v>25</v>
      </c>
      <c r="BB82" s="21" t="s">
        <v>178</v>
      </c>
      <c r="BC82" s="308" t="s">
        <v>179</v>
      </c>
      <c r="BD82" s="268"/>
      <c r="BG82" s="19" t="s">
        <v>210</v>
      </c>
      <c r="BH82" s="19" t="s">
        <v>26</v>
      </c>
      <c r="BI82" s="19" t="s">
        <v>215</v>
      </c>
      <c r="BJ82" s="19" t="s">
        <v>26</v>
      </c>
      <c r="BK82" s="19" t="s">
        <v>214</v>
      </c>
      <c r="BL82" s="19" t="s">
        <v>203</v>
      </c>
      <c r="BM82" s="19" t="s">
        <v>201</v>
      </c>
      <c r="BN82" s="19" t="s">
        <v>204</v>
      </c>
      <c r="BO82" s="19" t="s">
        <v>205</v>
      </c>
    </row>
    <row r="83" spans="1:67" s="4" customFormat="1" ht="14.25">
      <c r="A83" s="381"/>
      <c r="C83" s="280" t="s">
        <v>37</v>
      </c>
      <c r="D83" s="280"/>
      <c r="E83" s="344"/>
      <c r="F83" s="269"/>
      <c r="G83" s="273"/>
      <c r="H83" s="269"/>
      <c r="I83" s="268"/>
      <c r="J83" s="332">
        <f>MAX(($F$22*$F$23-J17)*$BB$88*$F$21,0)</f>
        <v>344</v>
      </c>
      <c r="K83" s="375"/>
      <c r="L83" s="332" t="e">
        <f>MAX(($F$22*$F$23-L17)*BB88*$F$21,0)</f>
        <v>#VALUE!</v>
      </c>
      <c r="M83" s="376"/>
      <c r="N83" s="332">
        <f ca="1">MAX(($H$22*$H$23*$H$24-N17)*BC88*$H$21,0)</f>
        <v>0</v>
      </c>
      <c r="O83" s="268"/>
      <c r="P83" s="269"/>
      <c r="Q83" s="269"/>
      <c r="R83" s="332" t="e">
        <f>MAX(($F$22*$F$24-R17)*BB88*$F$21,0)</f>
        <v>#VALUE!</v>
      </c>
      <c r="S83" s="332"/>
      <c r="T83" s="332">
        <f ca="1">MAX(($H$22*$H$23*$H$24-T17)*BC88*$H$21,0)</f>
        <v>0</v>
      </c>
      <c r="U83" s="269"/>
      <c r="V83" s="332">
        <f>MAX(($H$22*$H$23-V17)*BC88*$H$21,0)</f>
        <v>35.774999999999999</v>
      </c>
      <c r="W83" s="332"/>
      <c r="X83" s="332">
        <f ca="1">MAX(($H$22*$H$23-X17)*BC88*$H$21,0)</f>
        <v>6.1231224470213048</v>
      </c>
      <c r="Y83" s="269"/>
      <c r="Z83" s="269"/>
      <c r="AA83" s="269"/>
      <c r="AB83" s="332">
        <f ca="1">MAX(($H$22*$H$24-AB17)*BC88*$H$21,0)</f>
        <v>0</v>
      </c>
      <c r="AC83" s="269"/>
      <c r="AD83" s="291"/>
      <c r="AE83" s="2"/>
      <c r="AF83" s="269"/>
      <c r="AG83" s="450"/>
      <c r="AH83" s="270"/>
      <c r="AI83" s="270"/>
      <c r="AJ83" s="269"/>
      <c r="AK83" s="269"/>
      <c r="AL83" s="269"/>
      <c r="AM83" s="269"/>
      <c r="AO83" s="385"/>
      <c r="AP83" s="270"/>
      <c r="AQ83" s="270"/>
      <c r="AR83" s="269"/>
      <c r="AS83" s="269"/>
      <c r="AT83" s="269"/>
      <c r="AU83" s="386">
        <v>1</v>
      </c>
      <c r="AX83" s="387">
        <v>0.85</v>
      </c>
      <c r="BA83" s="388" t="s">
        <v>163</v>
      </c>
      <c r="BB83" s="268">
        <v>0.5</v>
      </c>
      <c r="BC83" s="302">
        <v>0.55000000000000004</v>
      </c>
      <c r="BG83" s="332" t="e">
        <f ca="1">IF(BH83&lt;$BC$95+$BC$96,NA(),$Z$50)</f>
        <v>#N/A</v>
      </c>
      <c r="BH83" s="385">
        <f ca="1">BC97</f>
        <v>43575</v>
      </c>
      <c r="BI83" s="332">
        <f ca="1">AB50</f>
        <v>250.42622449183835</v>
      </c>
      <c r="BJ83" s="385">
        <f ca="1">BH83</f>
        <v>43575</v>
      </c>
      <c r="BK83" s="332">
        <f ca="1">T50</f>
        <v>408.91622449183836</v>
      </c>
      <c r="BL83" s="269"/>
      <c r="BM83" s="269"/>
      <c r="BN83" s="269"/>
      <c r="BO83" s="269"/>
    </row>
    <row r="84" spans="1:67" s="4" customFormat="1" ht="14.25">
      <c r="A84" s="381"/>
      <c r="C84" s="280" t="s">
        <v>164</v>
      </c>
      <c r="D84" s="280"/>
      <c r="E84" s="344"/>
      <c r="F84" s="269"/>
      <c r="G84" s="273"/>
      <c r="H84" s="269"/>
      <c r="I84" s="268"/>
      <c r="J84" s="332">
        <f>MAX(($F$22*$F$23*MAX(BB88,MIN(BB88*2,$F$10))-J17*MIN(BB88,$F$10)),0)</f>
        <v>616</v>
      </c>
      <c r="K84" s="375"/>
      <c r="L84" s="332" t="e">
        <f>MAX(($F$22*$F$23*MAX($BB$88,MIN($BB$88*2,$F$10))-L17*MIN(BB88,$F$10)),0)</f>
        <v>#VALUE!</v>
      </c>
      <c r="M84" s="376"/>
      <c r="N84" s="332">
        <f ca="1">MAX(($H$22*$H$23*H24*MAX(BC88,MIN(BC88*2,$H$10))-N17*MIN(BC88,$H$10)),0)</f>
        <v>0</v>
      </c>
      <c r="O84" s="268"/>
      <c r="P84" s="269"/>
      <c r="Q84" s="269"/>
      <c r="R84" s="449" t="e">
        <f>MAX(($F$22*$F$24*MAX($BB$88,MIN($BB$88*2,$F$10))-R17*MIN($BB$88,$F$10)),0)</f>
        <v>#VALUE!</v>
      </c>
      <c r="S84" s="449"/>
      <c r="T84" s="332">
        <f ca="1">MAX(($H$22*$H$23*$H$24*MAX(EBC78,MIN(BC88*2,$H$10))-T17*MIN(BC88,$H$10)),0)</f>
        <v>0</v>
      </c>
      <c r="U84" s="269"/>
      <c r="V84" s="332">
        <f>MAX(($H$22*$H$23*MAX(EBC78,MIN(BC88*2,$H$10))-V17*MIN(BC88,$H$10)),0)</f>
        <v>51.300000000000011</v>
      </c>
      <c r="W84" s="332"/>
      <c r="X84" s="332">
        <f ca="1">MAX(($H$22*$H$23*MAX(BC88,MIN(BC88*2,$H$10))-X17*MIN(BC88,$H$10)),0)</f>
        <v>21.648122447021308</v>
      </c>
      <c r="Y84" s="269"/>
      <c r="Z84" s="269"/>
      <c r="AA84" s="269"/>
      <c r="AB84" s="449">
        <f ca="1">MAX((H22*H24*MAX(EBC78,MIN(BC88*2,$H$10))-AB17*MIN(BC88,$H$10)),0)</f>
        <v>0</v>
      </c>
      <c r="AC84" s="269"/>
      <c r="AD84" s="291"/>
      <c r="AE84" s="2"/>
      <c r="AF84" s="269"/>
      <c r="AG84" s="450"/>
      <c r="AH84" s="270"/>
      <c r="AI84" s="270"/>
      <c r="AJ84" s="269"/>
      <c r="AK84" s="269"/>
      <c r="AL84" s="269"/>
      <c r="AM84" s="269"/>
      <c r="AO84" s="385"/>
      <c r="AP84" s="270"/>
      <c r="AQ84" s="270"/>
      <c r="AR84" s="269"/>
      <c r="AS84" s="269"/>
      <c r="AT84" s="269"/>
      <c r="AU84" s="386">
        <v>0.99</v>
      </c>
      <c r="AX84" s="387">
        <v>0.8</v>
      </c>
      <c r="BA84" s="388" t="s">
        <v>182</v>
      </c>
      <c r="BB84" s="389"/>
      <c r="BC84" s="390"/>
      <c r="BD84" s="21"/>
      <c r="BG84" s="332" t="e">
        <f t="shared" ref="BG84:BG147" ca="1" si="2">IF(BH84&lt;$BC$95+$BC$96,NA(),$Z$50)</f>
        <v>#N/A</v>
      </c>
      <c r="BH84" s="385">
        <f ca="1">BH83</f>
        <v>43575</v>
      </c>
      <c r="BI84" s="269">
        <f t="dataTable" ref="BI84:BI218" dt2D="0" dtr="0" r1="H15" ca="1"/>
        <v>400.77275508902966</v>
      </c>
      <c r="BJ84" s="385">
        <f ca="1">BH84</f>
        <v>43575</v>
      </c>
      <c r="BK84" s="269"/>
      <c r="BL84" s="269">
        <f t="shared" ref="BL84:BL147" ca="1" si="3">IF(AND(BH84&gt;=$BB$95,BH84&lt;=$BB$95+$BB$96),1000,0)</f>
        <v>0</v>
      </c>
      <c r="BM84" s="269">
        <f t="shared" ref="BM84:BM147" ca="1" si="4">IF(BH84=$BB$97,1000,0)</f>
        <v>0</v>
      </c>
      <c r="BN84" s="269">
        <f t="shared" ref="BN84:BN147" ca="1" si="5">IF(BH84=$BC$97,1000,0)</f>
        <v>1000</v>
      </c>
      <c r="BO84" s="269">
        <f t="shared" ref="BO84:BO147" ca="1" si="6">IF(AND(BH84&gt;=$BC$95,BH84&lt;=$BC$95+$BC$96),1000,0)</f>
        <v>0</v>
      </c>
    </row>
    <row r="85" spans="1:67" s="4" customFormat="1" ht="14.25">
      <c r="A85" s="381"/>
      <c r="C85" s="280" t="s">
        <v>165</v>
      </c>
      <c r="D85" s="280"/>
      <c r="E85" s="344"/>
      <c r="F85" s="269"/>
      <c r="G85" s="273"/>
      <c r="H85" s="269"/>
      <c r="I85" s="268"/>
      <c r="J85" s="347">
        <f>MAX($F$22*$F$23*$BB$88-J17*MIN(F10,$BB$88),0)</f>
        <v>344</v>
      </c>
      <c r="K85" s="348"/>
      <c r="L85" s="347" t="e">
        <f>MAX($F$22*$F$23*$BB$88-L17*MIN(BB88,$F$10),0)</f>
        <v>#VALUE!</v>
      </c>
      <c r="M85" s="349"/>
      <c r="N85" s="347">
        <f ca="1">MAX($H$22*$H$23*H24*$BC$88-N17*MIN($BC$88,$H$10),0)</f>
        <v>0</v>
      </c>
      <c r="O85" s="268"/>
      <c r="P85" s="269"/>
      <c r="Q85" s="269"/>
      <c r="R85" s="448" t="e">
        <f>MAX($F$22*$F$24*$BB$88-R17*MIN(BB88,$F$10),0)</f>
        <v>#VALUE!</v>
      </c>
      <c r="S85" s="448"/>
      <c r="T85" s="347">
        <f ca="1">MAX($H$22*$H$23*$H$24*BC88-T17*MIN(BC88,$H$10),0)</f>
        <v>0</v>
      </c>
      <c r="U85" s="269"/>
      <c r="V85" s="347">
        <f>MAX($H$22*$H$23*BC88-V17*MIN(BC88,$H$10),0)</f>
        <v>35.774999999999977</v>
      </c>
      <c r="W85" s="347"/>
      <c r="X85" s="347">
        <f ca="1">MAX($H$22*$H$23*BC88-X17*MIN(BC88,$H$10),0)</f>
        <v>6.1231224470212737</v>
      </c>
      <c r="Y85" s="269"/>
      <c r="Z85" s="269"/>
      <c r="AA85" s="269"/>
      <c r="AB85" s="448">
        <f ca="1">MAX(H22*H24*BC88-AB17*MIN(BC88,$H$10),0)</f>
        <v>0</v>
      </c>
      <c r="AC85" s="269"/>
      <c r="AD85" s="291"/>
      <c r="AE85" s="2"/>
      <c r="AF85" s="269"/>
      <c r="AG85" s="450"/>
      <c r="AH85" s="270"/>
      <c r="AI85" s="270"/>
      <c r="AJ85" s="269"/>
      <c r="AK85" s="269"/>
      <c r="AL85" s="269"/>
      <c r="AM85" s="269"/>
      <c r="AO85" s="385"/>
      <c r="AP85" s="270"/>
      <c r="AQ85" s="270"/>
      <c r="AR85" s="269"/>
      <c r="AS85" s="269"/>
      <c r="AT85" s="269"/>
      <c r="AU85" s="386">
        <v>0.98</v>
      </c>
      <c r="AX85" s="387">
        <v>0.75</v>
      </c>
      <c r="BA85" s="391" t="s">
        <v>37</v>
      </c>
      <c r="BB85" s="389"/>
      <c r="BC85" s="390"/>
      <c r="BD85" s="21"/>
      <c r="BG85" s="332" t="e">
        <f t="shared" ca="1" si="2"/>
        <v>#N/A</v>
      </c>
      <c r="BH85" s="385">
        <f ca="1">BH84+1</f>
        <v>43576</v>
      </c>
      <c r="BI85" s="269">
        <v>402.28894556751476</v>
      </c>
      <c r="BJ85" s="385">
        <f ca="1">BJ84+1</f>
        <v>43576</v>
      </c>
      <c r="BK85" s="269"/>
      <c r="BL85" s="269">
        <f t="shared" ca="1" si="3"/>
        <v>0</v>
      </c>
      <c r="BM85" s="269">
        <f t="shared" ca="1" si="4"/>
        <v>0</v>
      </c>
      <c r="BN85" s="269">
        <f t="shared" ca="1" si="5"/>
        <v>0</v>
      </c>
      <c r="BO85" s="269">
        <f t="shared" ca="1" si="6"/>
        <v>0</v>
      </c>
    </row>
    <row r="86" spans="1:67" s="4" customFormat="1">
      <c r="A86" s="381"/>
      <c r="C86" s="451"/>
      <c r="D86" s="452"/>
      <c r="E86" s="274"/>
      <c r="F86" s="269"/>
      <c r="G86" s="273"/>
      <c r="H86" s="269"/>
      <c r="I86" s="268"/>
      <c r="J86" s="269"/>
      <c r="K86" s="276"/>
      <c r="L86" s="269"/>
      <c r="M86" s="268"/>
      <c r="N86" s="269"/>
      <c r="O86" s="268"/>
      <c r="P86" s="269"/>
      <c r="Q86" s="269"/>
      <c r="R86" s="269"/>
      <c r="S86" s="269"/>
      <c r="T86" s="269"/>
      <c r="U86" s="269"/>
      <c r="V86" s="269"/>
      <c r="W86" s="269"/>
      <c r="X86" s="269"/>
      <c r="Y86" s="269"/>
      <c r="Z86" s="269"/>
      <c r="AA86" s="269"/>
      <c r="AB86" s="269"/>
      <c r="AC86" s="269"/>
      <c r="AD86" s="291"/>
      <c r="AE86" s="2"/>
      <c r="AF86" s="269"/>
      <c r="AG86" s="450"/>
      <c r="AH86" s="270"/>
      <c r="AI86" s="270"/>
      <c r="AJ86" s="269"/>
      <c r="AK86" s="269"/>
      <c r="AL86" s="269"/>
      <c r="AM86" s="269"/>
      <c r="AO86" s="385"/>
      <c r="AP86" s="270"/>
      <c r="AQ86" s="270"/>
      <c r="AR86" s="269"/>
      <c r="AS86" s="269"/>
      <c r="AT86" s="269"/>
      <c r="AU86" s="386">
        <v>0.97</v>
      </c>
      <c r="AX86" s="387">
        <v>0.7</v>
      </c>
      <c r="BA86" s="388" t="s">
        <v>164</v>
      </c>
      <c r="BB86" s="510" t="s">
        <v>34</v>
      </c>
      <c r="BC86" s="511"/>
      <c r="BD86" s="21"/>
      <c r="BG86" s="332" t="e">
        <f t="shared" ca="1" si="2"/>
        <v>#N/A</v>
      </c>
      <c r="BH86" s="385">
        <f t="shared" ref="BH86:BJ101" ca="1" si="7">BH85+1</f>
        <v>43577</v>
      </c>
      <c r="BI86" s="269">
        <v>403.70360544510186</v>
      </c>
      <c r="BJ86" s="385">
        <f t="shared" ca="1" si="7"/>
        <v>43577</v>
      </c>
      <c r="BK86" s="269"/>
      <c r="BL86" s="269">
        <f t="shared" ca="1" si="3"/>
        <v>0</v>
      </c>
      <c r="BM86" s="269">
        <f t="shared" ca="1" si="4"/>
        <v>0</v>
      </c>
      <c r="BN86" s="269">
        <f t="shared" ca="1" si="5"/>
        <v>0</v>
      </c>
      <c r="BO86" s="269">
        <f t="shared" ca="1" si="6"/>
        <v>0</v>
      </c>
    </row>
    <row r="87" spans="1:67" s="4" customFormat="1">
      <c r="A87" s="381"/>
      <c r="C87" s="276"/>
      <c r="D87" s="276"/>
      <c r="E87" s="276"/>
      <c r="F87" s="50"/>
      <c r="G87" s="50"/>
      <c r="H87" s="392"/>
      <c r="I87" s="50"/>
      <c r="J87" s="50"/>
      <c r="K87" s="50"/>
      <c r="L87" s="50"/>
      <c r="M87" s="50"/>
      <c r="N87" s="50"/>
      <c r="O87" s="50"/>
      <c r="P87" s="50"/>
      <c r="Q87" s="50"/>
      <c r="R87" s="50"/>
      <c r="S87" s="50"/>
      <c r="T87" s="50"/>
      <c r="U87" s="50"/>
      <c r="V87" s="50"/>
      <c r="W87" s="50"/>
      <c r="X87" s="50"/>
      <c r="Y87" s="50"/>
      <c r="Z87" s="50"/>
      <c r="AA87" s="50"/>
      <c r="AB87" s="50"/>
      <c r="AC87" s="50"/>
      <c r="AD87" s="291"/>
      <c r="AE87" s="2"/>
      <c r="AF87" s="269"/>
      <c r="AG87" s="450"/>
      <c r="AH87" s="270"/>
      <c r="AI87" s="270"/>
      <c r="AJ87" s="269"/>
      <c r="AK87" s="269"/>
      <c r="AL87" s="269"/>
      <c r="AM87" s="269"/>
      <c r="AO87" s="385"/>
      <c r="AP87" s="270"/>
      <c r="AQ87" s="270"/>
      <c r="AR87" s="269"/>
      <c r="AS87" s="269"/>
      <c r="AT87" s="269"/>
      <c r="AU87" s="386">
        <v>0.96</v>
      </c>
      <c r="AX87" s="387">
        <v>0.65</v>
      </c>
      <c r="BA87" s="393" t="s">
        <v>187</v>
      </c>
      <c r="BB87" s="394" t="s">
        <v>0</v>
      </c>
      <c r="BC87" s="395" t="s">
        <v>1</v>
      </c>
      <c r="BD87" s="21"/>
      <c r="BG87" s="332" t="e">
        <f t="shared" ca="1" si="2"/>
        <v>#N/A</v>
      </c>
      <c r="BH87" s="385">
        <f t="shared" ca="1" si="7"/>
        <v>43578</v>
      </c>
      <c r="BI87" s="269">
        <v>405.01673470325767</v>
      </c>
      <c r="BJ87" s="385">
        <f t="shared" ca="1" si="7"/>
        <v>43578</v>
      </c>
      <c r="BK87" s="269"/>
      <c r="BL87" s="269">
        <f t="shared" ca="1" si="3"/>
        <v>0</v>
      </c>
      <c r="BM87" s="269">
        <f t="shared" ca="1" si="4"/>
        <v>0</v>
      </c>
      <c r="BN87" s="269">
        <f t="shared" ca="1" si="5"/>
        <v>0</v>
      </c>
      <c r="BO87" s="269">
        <f t="shared" ca="1" si="6"/>
        <v>0</v>
      </c>
    </row>
    <row r="88" spans="1:67" s="4" customFormat="1" ht="13.5" thickBot="1">
      <c r="A88" s="381"/>
      <c r="C88" s="276"/>
      <c r="D88" s="276"/>
      <c r="E88" s="276"/>
      <c r="F88" s="18"/>
      <c r="G88" s="18"/>
      <c r="H88" s="18"/>
      <c r="I88" s="396"/>
      <c r="J88" s="396"/>
      <c r="K88" s="396"/>
      <c r="L88" s="396"/>
      <c r="M88" s="396"/>
      <c r="N88" s="396"/>
      <c r="O88" s="30"/>
      <c r="P88" s="51"/>
      <c r="Q88" s="51"/>
      <c r="R88" s="30"/>
      <c r="S88" s="30"/>
      <c r="T88" s="30"/>
      <c r="U88" s="30"/>
      <c r="V88" s="30"/>
      <c r="W88" s="30"/>
      <c r="X88" s="30"/>
      <c r="Y88" s="30"/>
      <c r="Z88" s="30"/>
      <c r="AA88" s="30"/>
      <c r="AB88" s="30"/>
      <c r="AC88" s="30"/>
      <c r="AD88" s="291"/>
      <c r="AE88" s="2"/>
      <c r="AF88" s="269"/>
      <c r="AG88" s="450"/>
      <c r="AH88" s="270"/>
      <c r="AI88" s="270"/>
      <c r="AJ88" s="269"/>
      <c r="AK88" s="269"/>
      <c r="AL88" s="269"/>
      <c r="AM88" s="269"/>
      <c r="AO88" s="385"/>
      <c r="AP88" s="270"/>
      <c r="AQ88" s="270"/>
      <c r="AR88" s="269"/>
      <c r="AS88" s="269"/>
      <c r="AT88" s="269"/>
      <c r="AU88" s="386">
        <v>0.95</v>
      </c>
      <c r="AX88" s="387">
        <v>0.6</v>
      </c>
      <c r="BA88" s="397" t="s">
        <v>180</v>
      </c>
      <c r="BB88" s="398">
        <f>Instructions!L17</f>
        <v>4</v>
      </c>
      <c r="BC88" s="398">
        <f>Instructions!M17</f>
        <v>9.5399999999999991</v>
      </c>
      <c r="BD88" s="21"/>
      <c r="BG88" s="332" t="e">
        <f t="shared" ca="1" si="2"/>
        <v>#N/A</v>
      </c>
      <c r="BH88" s="385">
        <f t="shared" ca="1" si="7"/>
        <v>43579</v>
      </c>
      <c r="BI88" s="269">
        <v>406.22833330491557</v>
      </c>
      <c r="BJ88" s="385">
        <f t="shared" ca="1" si="7"/>
        <v>43579</v>
      </c>
      <c r="BK88" s="269"/>
      <c r="BL88" s="269">
        <f t="shared" ca="1" si="3"/>
        <v>0</v>
      </c>
      <c r="BM88" s="269">
        <f t="shared" ca="1" si="4"/>
        <v>0</v>
      </c>
      <c r="BN88" s="269">
        <f t="shared" ca="1" si="5"/>
        <v>0</v>
      </c>
      <c r="BO88" s="269">
        <f t="shared" ca="1" si="6"/>
        <v>0</v>
      </c>
    </row>
    <row r="89" spans="1:67" s="4" customFormat="1">
      <c r="A89" s="381"/>
      <c r="C89" s="399"/>
      <c r="D89" s="400"/>
      <c r="E89" s="400"/>
      <c r="F89" s="399"/>
      <c r="G89" s="399"/>
      <c r="H89" s="399"/>
      <c r="I89" s="50"/>
      <c r="J89" s="169"/>
      <c r="K89" s="169"/>
      <c r="L89" s="171"/>
      <c r="M89" s="171"/>
      <c r="N89" s="169"/>
      <c r="O89" s="169"/>
      <c r="P89" s="169"/>
      <c r="Q89" s="169"/>
      <c r="R89" s="170"/>
      <c r="S89" s="170"/>
      <c r="T89" s="169"/>
      <c r="U89" s="50"/>
      <c r="V89" s="169"/>
      <c r="W89" s="169"/>
      <c r="X89" s="169"/>
      <c r="Y89" s="50"/>
      <c r="Z89" s="169"/>
      <c r="AA89" s="169"/>
      <c r="AB89" s="170"/>
      <c r="AC89" s="50"/>
      <c r="AD89" s="291"/>
      <c r="AE89" s="2"/>
      <c r="AF89" s="269"/>
      <c r="AG89" s="450"/>
      <c r="AH89" s="270"/>
      <c r="AI89" s="270"/>
      <c r="AJ89" s="269"/>
      <c r="AK89" s="269"/>
      <c r="AL89" s="269"/>
      <c r="AM89" s="269"/>
      <c r="AO89" s="385"/>
      <c r="AP89" s="270"/>
      <c r="AQ89" s="270"/>
      <c r="AR89" s="269"/>
      <c r="AS89" s="269"/>
      <c r="AT89" s="269"/>
      <c r="AU89" s="386">
        <v>0.94</v>
      </c>
      <c r="AX89" s="387">
        <v>0.55000000000000004</v>
      </c>
      <c r="BA89" s="401"/>
      <c r="BB89" s="402"/>
      <c r="BC89" s="403"/>
      <c r="BD89" s="21"/>
      <c r="BG89" s="332" t="e">
        <f t="shared" ca="1" si="2"/>
        <v>#N/A</v>
      </c>
      <c r="BH89" s="385">
        <f t="shared" ca="1" si="7"/>
        <v>43580</v>
      </c>
      <c r="BI89" s="4">
        <v>407.3384013242088</v>
      </c>
      <c r="BJ89" s="385">
        <f t="shared" ca="1" si="7"/>
        <v>43580</v>
      </c>
      <c r="BL89" s="269">
        <f t="shared" ca="1" si="3"/>
        <v>0</v>
      </c>
      <c r="BM89" s="269">
        <f t="shared" ca="1" si="4"/>
        <v>0</v>
      </c>
      <c r="BN89" s="269">
        <f t="shared" ca="1" si="5"/>
        <v>0</v>
      </c>
      <c r="BO89" s="269">
        <f t="shared" ca="1" si="6"/>
        <v>0</v>
      </c>
    </row>
    <row r="90" spans="1:67" s="4" customFormat="1">
      <c r="A90" s="381"/>
      <c r="C90" s="399"/>
      <c r="D90" s="400"/>
      <c r="E90" s="400"/>
      <c r="F90" s="399"/>
      <c r="G90" s="399"/>
      <c r="H90" s="399"/>
      <c r="I90" s="50"/>
      <c r="J90" s="169"/>
      <c r="K90" s="169"/>
      <c r="L90" s="171"/>
      <c r="M90" s="171"/>
      <c r="N90" s="169"/>
      <c r="O90" s="169"/>
      <c r="P90" s="169"/>
      <c r="Q90" s="169"/>
      <c r="R90" s="170"/>
      <c r="S90" s="170"/>
      <c r="T90" s="169"/>
      <c r="U90" s="50"/>
      <c r="V90" s="169"/>
      <c r="W90" s="169"/>
      <c r="X90" s="169"/>
      <c r="Y90" s="50"/>
      <c r="Z90" s="169"/>
      <c r="AA90" s="169"/>
      <c r="AB90" s="170"/>
      <c r="AC90" s="50"/>
      <c r="AD90" s="291"/>
      <c r="AE90" s="2"/>
      <c r="AF90" s="269"/>
      <c r="AG90" s="450"/>
      <c r="AH90" s="270"/>
      <c r="AI90" s="270"/>
      <c r="AJ90" s="269"/>
      <c r="AK90" s="269"/>
      <c r="AL90" s="269"/>
      <c r="AM90" s="269"/>
      <c r="AO90" s="385"/>
      <c r="AP90" s="270"/>
      <c r="AQ90" s="270"/>
      <c r="AR90" s="269"/>
      <c r="AS90" s="269"/>
      <c r="AT90" s="269"/>
      <c r="AU90" s="386">
        <v>0.93</v>
      </c>
      <c r="AX90" s="387">
        <v>0.5</v>
      </c>
      <c r="BA90" s="401"/>
      <c r="BB90" s="402"/>
      <c r="BC90" s="403"/>
      <c r="BD90" s="21"/>
      <c r="BG90" s="332" t="e">
        <f t="shared" ca="1" si="2"/>
        <v>#N/A</v>
      </c>
      <c r="BH90" s="385">
        <f t="shared" ca="1" si="7"/>
        <v>43581</v>
      </c>
      <c r="BI90" s="4">
        <v>408.3469387426041</v>
      </c>
      <c r="BJ90" s="385">
        <f t="shared" ca="1" si="7"/>
        <v>43581</v>
      </c>
      <c r="BL90" s="269">
        <f t="shared" ca="1" si="3"/>
        <v>0</v>
      </c>
      <c r="BM90" s="269">
        <f t="shared" ca="1" si="4"/>
        <v>0</v>
      </c>
      <c r="BN90" s="269">
        <f t="shared" ca="1" si="5"/>
        <v>0</v>
      </c>
      <c r="BO90" s="269">
        <f t="shared" ca="1" si="6"/>
        <v>0</v>
      </c>
    </row>
    <row r="91" spans="1:67" s="4" customFormat="1" ht="15">
      <c r="A91" s="381"/>
      <c r="C91" s="455"/>
      <c r="D91" s="400"/>
      <c r="E91" s="400"/>
      <c r="F91" s="399"/>
      <c r="G91" s="399"/>
      <c r="H91" s="399"/>
      <c r="I91" s="50"/>
      <c r="J91" s="169"/>
      <c r="K91" s="169"/>
      <c r="L91" s="171"/>
      <c r="M91" s="171"/>
      <c r="N91" s="169"/>
      <c r="O91" s="169"/>
      <c r="P91" s="169"/>
      <c r="Q91" s="169"/>
      <c r="R91" s="170"/>
      <c r="S91" s="170"/>
      <c r="T91" s="169"/>
      <c r="U91" s="50"/>
      <c r="V91" s="169"/>
      <c r="W91" s="169"/>
      <c r="X91" s="169"/>
      <c r="Y91" s="50"/>
      <c r="Z91" s="169"/>
      <c r="AA91" s="169"/>
      <c r="AB91" s="170"/>
      <c r="AC91" s="50"/>
      <c r="AD91" s="291"/>
      <c r="AE91" s="2"/>
      <c r="AF91" s="269"/>
      <c r="AG91" s="450"/>
      <c r="AH91" s="270"/>
      <c r="AI91" s="270"/>
      <c r="AJ91" s="269"/>
      <c r="AK91" s="269"/>
      <c r="AL91" s="269"/>
      <c r="AM91" s="269"/>
      <c r="AO91" s="385"/>
      <c r="AP91" s="270"/>
      <c r="AQ91" s="270"/>
      <c r="AR91" s="269"/>
      <c r="AS91" s="269"/>
      <c r="AT91" s="269"/>
      <c r="AU91" s="386">
        <v>0.92</v>
      </c>
      <c r="AX91" s="387"/>
      <c r="BA91" s="401"/>
      <c r="BB91" s="402"/>
      <c r="BC91" s="403"/>
      <c r="BD91" s="21"/>
      <c r="BG91" s="332" t="e">
        <f t="shared" ca="1" si="2"/>
        <v>#N/A</v>
      </c>
      <c r="BH91" s="385">
        <f t="shared" ca="1" si="7"/>
        <v>43582</v>
      </c>
      <c r="BI91" s="4">
        <v>409.25394556010144</v>
      </c>
      <c r="BJ91" s="385">
        <f t="shared" ca="1" si="7"/>
        <v>43582</v>
      </c>
      <c r="BL91" s="269">
        <f t="shared" ca="1" si="3"/>
        <v>0</v>
      </c>
      <c r="BM91" s="269">
        <f t="shared" ca="1" si="4"/>
        <v>0</v>
      </c>
      <c r="BN91" s="269">
        <f t="shared" ca="1" si="5"/>
        <v>0</v>
      </c>
      <c r="BO91" s="269">
        <f t="shared" ca="1" si="6"/>
        <v>0</v>
      </c>
    </row>
    <row r="92" spans="1:67" s="4" customFormat="1" ht="15" thickBot="1">
      <c r="A92" s="381"/>
      <c r="C92" s="280"/>
      <c r="D92" s="280"/>
      <c r="E92" s="344"/>
      <c r="F92" s="269"/>
      <c r="G92" s="273"/>
      <c r="H92" s="268"/>
      <c r="I92" s="268"/>
      <c r="J92" s="268"/>
      <c r="K92" s="276"/>
      <c r="L92" s="268"/>
      <c r="M92" s="268"/>
      <c r="N92" s="268"/>
      <c r="O92" s="268"/>
      <c r="P92" s="268"/>
      <c r="Q92" s="169"/>
      <c r="R92" s="170"/>
      <c r="S92" s="170"/>
      <c r="T92" s="169"/>
      <c r="U92" s="50"/>
      <c r="V92" s="169"/>
      <c r="W92" s="169"/>
      <c r="X92" s="169"/>
      <c r="Y92" s="50"/>
      <c r="Z92" s="169"/>
      <c r="AA92" s="169"/>
      <c r="AB92" s="170"/>
      <c r="AC92" s="50"/>
      <c r="AD92" s="291"/>
      <c r="AE92" s="2"/>
      <c r="AF92" s="269"/>
      <c r="AG92" s="450"/>
      <c r="AH92" s="270"/>
      <c r="AI92" s="270"/>
      <c r="AJ92" s="269"/>
      <c r="AK92" s="269"/>
      <c r="AL92" s="269"/>
      <c r="AM92" s="269"/>
      <c r="AO92" s="385"/>
      <c r="AP92" s="270"/>
      <c r="AQ92" s="270"/>
      <c r="AR92" s="269"/>
      <c r="AS92" s="269"/>
      <c r="AT92" s="269"/>
      <c r="AU92" s="386">
        <v>0.91</v>
      </c>
      <c r="AX92" s="387"/>
      <c r="BA92" s="269"/>
      <c r="BB92" s="269"/>
      <c r="BC92" s="269"/>
      <c r="BD92" s="21"/>
      <c r="BG92" s="332" t="e">
        <f t="shared" ca="1" si="2"/>
        <v>#N/A</v>
      </c>
      <c r="BH92" s="385">
        <f t="shared" ca="1" si="7"/>
        <v>43583</v>
      </c>
      <c r="BI92" s="4">
        <v>410.05942175816745</v>
      </c>
      <c r="BJ92" s="385">
        <f t="shared" ca="1" si="7"/>
        <v>43583</v>
      </c>
      <c r="BL92" s="269">
        <f t="shared" ca="1" si="3"/>
        <v>0</v>
      </c>
      <c r="BM92" s="269">
        <f t="shared" ca="1" si="4"/>
        <v>0</v>
      </c>
      <c r="BN92" s="269">
        <f t="shared" ca="1" si="5"/>
        <v>0</v>
      </c>
      <c r="BO92" s="269">
        <f t="shared" ca="1" si="6"/>
        <v>0</v>
      </c>
    </row>
    <row r="93" spans="1:67" s="4" customFormat="1" ht="14.25">
      <c r="A93" s="381"/>
      <c r="C93" s="280"/>
      <c r="D93" s="280"/>
      <c r="E93" s="344"/>
      <c r="F93" s="269"/>
      <c r="G93" s="273"/>
      <c r="H93" s="268"/>
      <c r="I93" s="268"/>
      <c r="J93" s="268"/>
      <c r="K93" s="276"/>
      <c r="L93" s="268"/>
      <c r="M93" s="268"/>
      <c r="N93" s="268"/>
      <c r="O93" s="268"/>
      <c r="P93" s="268"/>
      <c r="Q93" s="169"/>
      <c r="R93" s="170"/>
      <c r="S93" s="170"/>
      <c r="T93" s="169"/>
      <c r="U93" s="50"/>
      <c r="V93" s="169"/>
      <c r="W93" s="169"/>
      <c r="X93" s="169"/>
      <c r="Y93" s="50"/>
      <c r="Z93" s="169"/>
      <c r="AA93" s="169"/>
      <c r="AB93" s="170"/>
      <c r="AC93" s="50"/>
      <c r="AD93" s="291"/>
      <c r="AE93" s="2"/>
      <c r="AF93" s="269"/>
      <c r="AG93" s="450"/>
      <c r="AH93" s="270"/>
      <c r="AI93" s="270"/>
      <c r="AJ93" s="269"/>
      <c r="AK93" s="269"/>
      <c r="AL93" s="269"/>
      <c r="AM93" s="269"/>
      <c r="AO93" s="385"/>
      <c r="AP93" s="270"/>
      <c r="AQ93" s="270"/>
      <c r="AR93" s="269"/>
      <c r="AS93" s="269"/>
      <c r="AT93" s="269"/>
      <c r="AU93" s="386">
        <v>0.9</v>
      </c>
      <c r="AX93" s="387"/>
      <c r="BA93" s="404" t="s">
        <v>13</v>
      </c>
      <c r="BB93" s="405"/>
      <c r="BC93" s="406"/>
      <c r="BD93" s="21"/>
      <c r="BG93" s="332" t="e">
        <f t="shared" ca="1" si="2"/>
        <v>#N/A</v>
      </c>
      <c r="BH93" s="385">
        <f t="shared" ca="1" si="7"/>
        <v>43584</v>
      </c>
      <c r="BI93" s="4">
        <v>410.76336733680216</v>
      </c>
      <c r="BJ93" s="385">
        <f t="shared" ca="1" si="7"/>
        <v>43584</v>
      </c>
      <c r="BL93" s="269">
        <f t="shared" ca="1" si="3"/>
        <v>0</v>
      </c>
      <c r="BM93" s="269">
        <f t="shared" ca="1" si="4"/>
        <v>0</v>
      </c>
      <c r="BN93" s="269">
        <f t="shared" ca="1" si="5"/>
        <v>0</v>
      </c>
      <c r="BO93" s="269">
        <f t="shared" ca="1" si="6"/>
        <v>0</v>
      </c>
    </row>
    <row r="94" spans="1:67" s="4" customFormat="1" ht="14.25">
      <c r="A94" s="381"/>
      <c r="C94" s="280"/>
      <c r="D94" s="280"/>
      <c r="E94" s="344"/>
      <c r="F94" s="269"/>
      <c r="G94" s="273"/>
      <c r="H94" s="268"/>
      <c r="I94" s="268"/>
      <c r="J94" s="47"/>
      <c r="K94" s="36"/>
      <c r="L94" s="180"/>
      <c r="M94" s="180"/>
      <c r="N94" s="180"/>
      <c r="O94" s="268"/>
      <c r="P94" s="268"/>
      <c r="Q94" s="169"/>
      <c r="R94" s="170"/>
      <c r="S94" s="170"/>
      <c r="T94" s="169"/>
      <c r="U94" s="50"/>
      <c r="V94" s="169"/>
      <c r="W94" s="169"/>
      <c r="X94" s="169"/>
      <c r="Y94" s="50"/>
      <c r="Z94" s="169"/>
      <c r="AA94" s="169"/>
      <c r="AB94" s="170"/>
      <c r="AC94" s="50"/>
      <c r="AD94" s="291"/>
      <c r="AE94" s="2"/>
      <c r="AF94" s="269"/>
      <c r="AG94" s="450"/>
      <c r="AH94" s="270"/>
      <c r="AI94" s="270"/>
      <c r="AJ94" s="269"/>
      <c r="AK94" s="269"/>
      <c r="AL94" s="269"/>
      <c r="AM94" s="269"/>
      <c r="AO94" s="385"/>
      <c r="AP94" s="270"/>
      <c r="AQ94" s="270"/>
      <c r="AR94" s="269"/>
      <c r="AS94" s="269"/>
      <c r="AT94" s="269"/>
      <c r="AU94" s="386">
        <v>0.89</v>
      </c>
      <c r="AX94" s="387"/>
      <c r="BA94" s="301"/>
      <c r="BB94" s="43"/>
      <c r="BC94" s="407" t="s">
        <v>1</v>
      </c>
      <c r="BD94" s="21"/>
      <c r="BG94" s="332" t="e">
        <f t="shared" ca="1" si="2"/>
        <v>#N/A</v>
      </c>
      <c r="BH94" s="385">
        <f t="shared" ca="1" si="7"/>
        <v>43585</v>
      </c>
      <c r="BI94" s="4">
        <v>411.36578229600565</v>
      </c>
      <c r="BJ94" s="385">
        <f t="shared" ca="1" si="7"/>
        <v>43585</v>
      </c>
      <c r="BL94" s="269">
        <f t="shared" ca="1" si="3"/>
        <v>0</v>
      </c>
      <c r="BM94" s="269">
        <f t="shared" ca="1" si="4"/>
        <v>0</v>
      </c>
      <c r="BN94" s="269">
        <f t="shared" ca="1" si="5"/>
        <v>0</v>
      </c>
      <c r="BO94" s="269">
        <f t="shared" ca="1" si="6"/>
        <v>0</v>
      </c>
    </row>
    <row r="95" spans="1:67" s="4" customFormat="1" ht="14.25">
      <c r="A95" s="381"/>
      <c r="C95" s="280"/>
      <c r="D95" s="280"/>
      <c r="E95" s="344"/>
      <c r="F95" s="269"/>
      <c r="G95" s="273"/>
      <c r="H95" s="268"/>
      <c r="I95" s="268"/>
      <c r="J95" s="268"/>
      <c r="K95" s="276"/>
      <c r="L95" s="268"/>
      <c r="M95" s="268"/>
      <c r="N95" s="268"/>
      <c r="O95" s="268"/>
      <c r="P95" s="268"/>
      <c r="Q95" s="169"/>
      <c r="R95" s="170"/>
      <c r="S95" s="170"/>
      <c r="T95" s="169"/>
      <c r="U95" s="50"/>
      <c r="V95" s="169"/>
      <c r="W95" s="169"/>
      <c r="X95" s="169"/>
      <c r="Y95" s="50"/>
      <c r="Z95" s="169"/>
      <c r="AA95" s="169"/>
      <c r="AB95" s="170"/>
      <c r="AC95" s="50"/>
      <c r="AD95" s="291"/>
      <c r="AE95" s="2"/>
      <c r="AF95" s="269"/>
      <c r="AG95" s="450"/>
      <c r="AH95" s="270"/>
      <c r="AI95" s="270"/>
      <c r="AJ95" s="269"/>
      <c r="AK95" s="269"/>
      <c r="AL95" s="269"/>
      <c r="AM95" s="269"/>
      <c r="AO95" s="385"/>
      <c r="AP95" s="270"/>
      <c r="AQ95" s="270"/>
      <c r="AR95" s="269"/>
      <c r="AS95" s="269"/>
      <c r="AT95" s="269"/>
      <c r="AU95" s="386">
        <v>0.88</v>
      </c>
      <c r="AX95" s="387"/>
      <c r="BA95" s="283" t="s">
        <v>207</v>
      </c>
      <c r="BB95" s="408"/>
      <c r="BC95" s="489">
        <f ca="1">VLOOKUP(D6,RMAData!A3:D117,4)</f>
        <v>43636</v>
      </c>
      <c r="BD95" s="21"/>
      <c r="BG95" s="332" t="e">
        <f t="shared" ca="1" si="2"/>
        <v>#N/A</v>
      </c>
      <c r="BH95" s="385">
        <f t="shared" ca="1" si="7"/>
        <v>43586</v>
      </c>
      <c r="BI95" s="4">
        <v>411.86666665431113</v>
      </c>
      <c r="BJ95" s="385">
        <f t="shared" ca="1" si="7"/>
        <v>43586</v>
      </c>
      <c r="BL95" s="269">
        <f t="shared" ca="1" si="3"/>
        <v>0</v>
      </c>
      <c r="BM95" s="269">
        <f t="shared" ca="1" si="4"/>
        <v>0</v>
      </c>
      <c r="BN95" s="269">
        <f t="shared" ca="1" si="5"/>
        <v>0</v>
      </c>
      <c r="BO95" s="269">
        <f t="shared" ca="1" si="6"/>
        <v>0</v>
      </c>
    </row>
    <row r="96" spans="1:67" s="4" customFormat="1">
      <c r="A96" s="381"/>
      <c r="C96" s="399"/>
      <c r="D96" s="400"/>
      <c r="E96" s="400"/>
      <c r="F96" s="399"/>
      <c r="G96" s="399"/>
      <c r="H96" s="399"/>
      <c r="I96" s="50"/>
      <c r="J96" s="169"/>
      <c r="K96" s="169"/>
      <c r="L96" s="171"/>
      <c r="M96" s="171"/>
      <c r="N96" s="169"/>
      <c r="O96" s="169"/>
      <c r="P96" s="169"/>
      <c r="Q96" s="169"/>
      <c r="R96" s="170"/>
      <c r="S96" s="170"/>
      <c r="T96" s="169"/>
      <c r="U96" s="50"/>
      <c r="V96" s="169"/>
      <c r="W96" s="169"/>
      <c r="X96" s="169"/>
      <c r="Y96" s="50"/>
      <c r="Z96" s="169"/>
      <c r="AA96" s="169"/>
      <c r="AB96" s="170"/>
      <c r="AC96" s="50"/>
      <c r="AD96" s="291"/>
      <c r="AE96" s="2"/>
      <c r="AF96" s="269"/>
      <c r="AG96" s="450"/>
      <c r="AH96" s="270"/>
      <c r="AI96" s="270"/>
      <c r="AJ96" s="269"/>
      <c r="AK96" s="269"/>
      <c r="AL96" s="269"/>
      <c r="AM96" s="269"/>
      <c r="AO96" s="385"/>
      <c r="AP96" s="270"/>
      <c r="AQ96" s="270"/>
      <c r="AR96" s="269"/>
      <c r="AS96" s="269"/>
      <c r="AT96" s="269"/>
      <c r="AU96" s="386">
        <v>0.87</v>
      </c>
      <c r="AX96" s="387"/>
      <c r="BA96" s="410" t="s">
        <v>257</v>
      </c>
      <c r="BB96" s="402"/>
      <c r="BC96" s="411">
        <v>25</v>
      </c>
      <c r="BD96" s="21"/>
      <c r="BG96" s="332" t="e">
        <f t="shared" ca="1" si="2"/>
        <v>#N/A</v>
      </c>
      <c r="BH96" s="385">
        <f t="shared" ca="1" si="7"/>
        <v>43587</v>
      </c>
      <c r="BI96" s="4">
        <v>412.26602041171861</v>
      </c>
      <c r="BJ96" s="385">
        <f t="shared" ca="1" si="7"/>
        <v>43587</v>
      </c>
      <c r="BL96" s="269">
        <f t="shared" ca="1" si="3"/>
        <v>0</v>
      </c>
      <c r="BM96" s="269">
        <f t="shared" ca="1" si="4"/>
        <v>0</v>
      </c>
      <c r="BN96" s="269">
        <f t="shared" ca="1" si="5"/>
        <v>0</v>
      </c>
      <c r="BO96" s="269">
        <f t="shared" ca="1" si="6"/>
        <v>0</v>
      </c>
    </row>
    <row r="97" spans="1:67" s="4" customFormat="1" ht="13.5" thickBot="1">
      <c r="A97" s="381"/>
      <c r="C97" s="399"/>
      <c r="D97" s="400"/>
      <c r="E97" s="400"/>
      <c r="F97" s="399"/>
      <c r="G97" s="399"/>
      <c r="H97" s="399"/>
      <c r="I97" s="50"/>
      <c r="J97" s="169"/>
      <c r="K97" s="169"/>
      <c r="L97" s="171"/>
      <c r="M97" s="171"/>
      <c r="N97" s="169"/>
      <c r="O97" s="169"/>
      <c r="P97" s="169"/>
      <c r="Q97" s="169"/>
      <c r="R97" s="170"/>
      <c r="S97" s="170"/>
      <c r="T97" s="169"/>
      <c r="U97" s="50"/>
      <c r="V97" s="169"/>
      <c r="W97" s="169"/>
      <c r="X97" s="169"/>
      <c r="Y97" s="50"/>
      <c r="Z97" s="169"/>
      <c r="AA97" s="169"/>
      <c r="AB97" s="170"/>
      <c r="AC97" s="50"/>
      <c r="AD97" s="291"/>
      <c r="AE97" s="2"/>
      <c r="AF97" s="269"/>
      <c r="AG97" s="450"/>
      <c r="AH97" s="270"/>
      <c r="AI97" s="270"/>
      <c r="AJ97" s="269"/>
      <c r="AK97" s="269"/>
      <c r="AL97" s="269"/>
      <c r="AM97" s="269"/>
      <c r="AO97" s="385"/>
      <c r="AP97" s="270"/>
      <c r="AQ97" s="270"/>
      <c r="AR97" s="269"/>
      <c r="AS97" s="269"/>
      <c r="AT97" s="269"/>
      <c r="AU97" s="386">
        <v>0.86</v>
      </c>
      <c r="AX97" s="387"/>
      <c r="BA97" s="412" t="s">
        <v>200</v>
      </c>
      <c r="BB97" s="466"/>
      <c r="BC97" s="414">
        <f ca="1">VLOOKUP(D6,RMAData!A3:F117,6)</f>
        <v>43575</v>
      </c>
      <c r="BD97" s="21"/>
      <c r="BG97" s="332" t="e">
        <f t="shared" ca="1" si="2"/>
        <v>#N/A</v>
      </c>
      <c r="BH97" s="385">
        <f t="shared" ca="1" si="7"/>
        <v>43588</v>
      </c>
      <c r="BI97" s="4">
        <v>412.56384353116152</v>
      </c>
      <c r="BJ97" s="385">
        <f t="shared" ca="1" si="7"/>
        <v>43588</v>
      </c>
      <c r="BL97" s="269">
        <f t="shared" ca="1" si="3"/>
        <v>0</v>
      </c>
      <c r="BM97" s="269">
        <f t="shared" ca="1" si="4"/>
        <v>0</v>
      </c>
      <c r="BN97" s="269">
        <f t="shared" ca="1" si="5"/>
        <v>0</v>
      </c>
      <c r="BO97" s="269">
        <f t="shared" ca="1" si="6"/>
        <v>0</v>
      </c>
    </row>
    <row r="98" spans="1:67" s="4" customFormat="1">
      <c r="A98" s="381"/>
      <c r="C98" s="399"/>
      <c r="D98" s="400"/>
      <c r="E98" s="400"/>
      <c r="F98" s="399"/>
      <c r="G98" s="399"/>
      <c r="H98" s="399"/>
      <c r="I98" s="50"/>
      <c r="J98" s="169"/>
      <c r="K98" s="169"/>
      <c r="L98" s="171"/>
      <c r="M98" s="171"/>
      <c r="N98" s="169"/>
      <c r="O98" s="169"/>
      <c r="P98" s="169"/>
      <c r="Q98" s="169"/>
      <c r="R98" s="170"/>
      <c r="S98" s="170"/>
      <c r="T98" s="169"/>
      <c r="U98" s="50"/>
      <c r="V98" s="169"/>
      <c r="W98" s="169"/>
      <c r="X98" s="169"/>
      <c r="Y98" s="50"/>
      <c r="Z98" s="169"/>
      <c r="AA98" s="169"/>
      <c r="AB98" s="170"/>
      <c r="AC98" s="50"/>
      <c r="AD98" s="291"/>
      <c r="AE98" s="2"/>
      <c r="AF98" s="269"/>
      <c r="AG98" s="450"/>
      <c r="AH98" s="270"/>
      <c r="AI98" s="270"/>
      <c r="AJ98" s="269"/>
      <c r="AK98" s="269"/>
      <c r="AL98" s="269"/>
      <c r="AM98" s="269"/>
      <c r="AO98" s="385"/>
      <c r="AP98" s="270"/>
      <c r="AQ98" s="270"/>
      <c r="AR98" s="269"/>
      <c r="AS98" s="269"/>
      <c r="AT98" s="269"/>
      <c r="AU98" s="386">
        <v>0.85</v>
      </c>
      <c r="AX98" s="387"/>
      <c r="BA98" s="415"/>
      <c r="BB98" s="416"/>
      <c r="BC98" s="417"/>
      <c r="BD98" s="21"/>
      <c r="BG98" s="332" t="e">
        <f t="shared" ca="1" si="2"/>
        <v>#N/A</v>
      </c>
      <c r="BH98" s="385">
        <f t="shared" ca="1" si="7"/>
        <v>43589</v>
      </c>
      <c r="BI98" s="4">
        <v>412.76013604970649</v>
      </c>
      <c r="BJ98" s="385">
        <f t="shared" ca="1" si="7"/>
        <v>43589</v>
      </c>
      <c r="BL98" s="269">
        <f t="shared" ca="1" si="3"/>
        <v>0</v>
      </c>
      <c r="BM98" s="269">
        <f t="shared" ca="1" si="4"/>
        <v>0</v>
      </c>
      <c r="BN98" s="269">
        <f t="shared" ca="1" si="5"/>
        <v>0</v>
      </c>
      <c r="BO98" s="269">
        <f t="shared" ca="1" si="6"/>
        <v>0</v>
      </c>
    </row>
    <row r="99" spans="1:67" s="4" customFormat="1">
      <c r="A99" s="381"/>
      <c r="C99" s="399"/>
      <c r="D99" s="400"/>
      <c r="E99" s="400"/>
      <c r="F99" s="399"/>
      <c r="G99" s="399"/>
      <c r="H99" s="399"/>
      <c r="I99" s="50"/>
      <c r="J99" s="169"/>
      <c r="K99" s="169"/>
      <c r="L99" s="171"/>
      <c r="M99" s="171"/>
      <c r="N99" s="169"/>
      <c r="O99" s="169"/>
      <c r="P99" s="169"/>
      <c r="Q99" s="169"/>
      <c r="R99" s="170"/>
      <c r="S99" s="170"/>
      <c r="T99" s="169"/>
      <c r="U99" s="50"/>
      <c r="V99" s="169"/>
      <c r="W99" s="169"/>
      <c r="X99" s="169"/>
      <c r="Y99" s="50"/>
      <c r="Z99" s="169"/>
      <c r="AA99" s="169"/>
      <c r="AB99" s="170"/>
      <c r="AC99" s="50"/>
      <c r="AD99" s="291"/>
      <c r="AE99" s="2"/>
      <c r="AF99" s="269"/>
      <c r="AG99" s="450"/>
      <c r="AH99" s="270"/>
      <c r="AI99" s="270"/>
      <c r="AJ99" s="269"/>
      <c r="AK99" s="269"/>
      <c r="AL99" s="269"/>
      <c r="AM99" s="269"/>
      <c r="AO99" s="385"/>
      <c r="AP99" s="270"/>
      <c r="AQ99" s="270"/>
      <c r="AR99" s="269"/>
      <c r="AS99" s="269"/>
      <c r="AT99" s="269"/>
      <c r="AU99" s="386">
        <v>0.84</v>
      </c>
      <c r="AX99" s="387"/>
      <c r="BA99" s="401"/>
      <c r="BB99" s="402"/>
      <c r="BC99" s="403"/>
      <c r="BD99" s="21"/>
      <c r="BG99" s="332" t="e">
        <f t="shared" ca="1" si="2"/>
        <v>#N/A</v>
      </c>
      <c r="BH99" s="385">
        <f t="shared" ca="1" si="7"/>
        <v>43590</v>
      </c>
      <c r="BI99" s="4">
        <v>412.85489796735345</v>
      </c>
      <c r="BJ99" s="385">
        <f t="shared" ca="1" si="7"/>
        <v>43590</v>
      </c>
      <c r="BL99" s="269">
        <f t="shared" ca="1" si="3"/>
        <v>0</v>
      </c>
      <c r="BM99" s="269">
        <f t="shared" ca="1" si="4"/>
        <v>0</v>
      </c>
      <c r="BN99" s="269">
        <f t="shared" ca="1" si="5"/>
        <v>0</v>
      </c>
      <c r="BO99" s="269">
        <f t="shared" ca="1" si="6"/>
        <v>0</v>
      </c>
    </row>
    <row r="100" spans="1:67" s="4" customFormat="1">
      <c r="A100" s="381"/>
      <c r="C100" s="399"/>
      <c r="D100" s="400"/>
      <c r="E100" s="400"/>
      <c r="F100" s="399"/>
      <c r="G100" s="399"/>
      <c r="H100" s="399"/>
      <c r="I100" s="50"/>
      <c r="J100" s="169"/>
      <c r="K100" s="169"/>
      <c r="L100" s="171"/>
      <c r="M100" s="171"/>
      <c r="N100" s="169"/>
      <c r="O100" s="169"/>
      <c r="P100" s="169"/>
      <c r="Q100" s="169"/>
      <c r="R100" s="170"/>
      <c r="S100" s="170"/>
      <c r="T100" s="169"/>
      <c r="U100" s="50"/>
      <c r="V100" s="169"/>
      <c r="W100" s="169"/>
      <c r="X100" s="169"/>
      <c r="Y100" s="50"/>
      <c r="Z100" s="169"/>
      <c r="AA100" s="169"/>
      <c r="AB100" s="170"/>
      <c r="AC100" s="50"/>
      <c r="AD100" s="291"/>
      <c r="AE100" s="2"/>
      <c r="AF100" s="269"/>
      <c r="AG100" s="450"/>
      <c r="AH100" s="269"/>
      <c r="AI100" s="269"/>
      <c r="AJ100" s="269"/>
      <c r="AK100" s="269"/>
      <c r="AL100" s="269"/>
      <c r="AM100" s="269"/>
      <c r="AO100" s="385"/>
      <c r="AP100" s="270"/>
      <c r="AQ100" s="270"/>
      <c r="AR100" s="269"/>
      <c r="AS100" s="269"/>
      <c r="AT100" s="269"/>
      <c r="AU100" s="386">
        <v>0.83</v>
      </c>
      <c r="AX100" s="387"/>
      <c r="BA100" s="401"/>
      <c r="BB100" s="402"/>
      <c r="BC100" s="403"/>
      <c r="BD100" s="21"/>
      <c r="BG100" s="332" t="e">
        <f t="shared" ca="1" si="2"/>
        <v>#N/A</v>
      </c>
      <c r="BH100" s="385">
        <f t="shared" ca="1" si="7"/>
        <v>43591</v>
      </c>
      <c r="BI100" s="4">
        <v>412.8481292285025</v>
      </c>
      <c r="BJ100" s="385">
        <f t="shared" ca="1" si="7"/>
        <v>43591</v>
      </c>
      <c r="BL100" s="269">
        <f t="shared" ca="1" si="3"/>
        <v>0</v>
      </c>
      <c r="BM100" s="269">
        <f t="shared" ca="1" si="4"/>
        <v>0</v>
      </c>
      <c r="BN100" s="269">
        <f t="shared" ca="1" si="5"/>
        <v>0</v>
      </c>
      <c r="BO100" s="269">
        <f t="shared" ca="1" si="6"/>
        <v>0</v>
      </c>
    </row>
    <row r="101" spans="1:67" s="4" customFormat="1">
      <c r="A101" s="381"/>
      <c r="C101" s="383"/>
      <c r="D101" s="457"/>
      <c r="E101" s="457"/>
      <c r="F101" s="421"/>
      <c r="G101" s="421"/>
      <c r="H101" s="55"/>
      <c r="I101" s="50"/>
      <c r="J101" s="23"/>
      <c r="K101" s="23"/>
      <c r="L101" s="23"/>
      <c r="M101" s="23"/>
      <c r="N101" s="23"/>
      <c r="O101" s="50"/>
      <c r="P101" s="458"/>
      <c r="Q101" s="458"/>
      <c r="R101" s="458"/>
      <c r="S101" s="458"/>
      <c r="T101" s="458"/>
      <c r="U101" s="50"/>
      <c r="V101" s="23"/>
      <c r="W101" s="23"/>
      <c r="X101" s="23"/>
      <c r="Y101" s="50"/>
      <c r="Z101" s="23"/>
      <c r="AA101" s="23"/>
      <c r="AB101" s="458"/>
      <c r="AC101" s="50"/>
      <c r="AD101" s="291"/>
      <c r="AE101" s="2"/>
      <c r="AF101" s="269"/>
      <c r="AG101" s="450"/>
      <c r="AH101" s="269"/>
      <c r="AI101" s="269"/>
      <c r="AJ101" s="269"/>
      <c r="AK101" s="269"/>
      <c r="AL101" s="269"/>
      <c r="AM101" s="269"/>
      <c r="AS101" s="269"/>
      <c r="AT101" s="269"/>
      <c r="AU101" s="386">
        <v>0.82</v>
      </c>
      <c r="BA101" s="345" t="s">
        <v>167</v>
      </c>
      <c r="BB101" s="385" t="str">
        <f>VLOOKUP(D6,RMAData!A3:D117,2)</f>
        <v>Central and North MO</v>
      </c>
      <c r="BD101" s="268"/>
      <c r="BG101" s="332" t="e">
        <f t="shared" ca="1" si="2"/>
        <v>#N/A</v>
      </c>
      <c r="BH101" s="385">
        <f t="shared" ca="1" si="7"/>
        <v>43592</v>
      </c>
      <c r="BI101" s="4">
        <v>412.73982990728689</v>
      </c>
      <c r="BJ101" s="385">
        <f t="shared" ca="1" si="7"/>
        <v>43592</v>
      </c>
      <c r="BL101" s="269">
        <f t="shared" ca="1" si="3"/>
        <v>0</v>
      </c>
      <c r="BM101" s="269">
        <f t="shared" ca="1" si="4"/>
        <v>0</v>
      </c>
      <c r="BN101" s="269">
        <f t="shared" ca="1" si="5"/>
        <v>0</v>
      </c>
      <c r="BO101" s="269">
        <f t="shared" ca="1" si="6"/>
        <v>0</v>
      </c>
    </row>
    <row r="102" spans="1:67" s="4" customFormat="1">
      <c r="A102" s="381"/>
      <c r="C102" s="383"/>
      <c r="D102" s="383"/>
      <c r="E102" s="383"/>
      <c r="F102" s="421"/>
      <c r="G102" s="421"/>
      <c r="H102" s="55"/>
      <c r="I102" s="50"/>
      <c r="J102" s="23"/>
      <c r="K102" s="23"/>
      <c r="L102" s="23"/>
      <c r="M102" s="23"/>
      <c r="N102" s="23"/>
      <c r="O102" s="50"/>
      <c r="P102" s="458"/>
      <c r="Q102" s="458"/>
      <c r="R102" s="458"/>
      <c r="S102" s="458"/>
      <c r="T102" s="458"/>
      <c r="U102" s="50"/>
      <c r="V102" s="23"/>
      <c r="W102" s="23"/>
      <c r="X102" s="23"/>
      <c r="Y102" s="50"/>
      <c r="Z102" s="23"/>
      <c r="AA102" s="23"/>
      <c r="AB102" s="458"/>
      <c r="AC102" s="50"/>
      <c r="AD102" s="291"/>
      <c r="AE102" s="2"/>
      <c r="AF102" s="269"/>
      <c r="AG102" s="450"/>
      <c r="AH102" s="269"/>
      <c r="AI102" s="269"/>
      <c r="AJ102" s="269"/>
      <c r="AK102" s="269"/>
      <c r="AL102" s="269"/>
      <c r="AM102" s="269"/>
      <c r="AS102" s="269"/>
      <c r="AT102" s="269"/>
      <c r="AU102" s="386">
        <v>0.81</v>
      </c>
      <c r="BA102" s="268"/>
      <c r="BB102" s="268"/>
      <c r="BC102" s="269"/>
      <c r="BD102" s="269"/>
      <c r="BG102" s="332" t="e">
        <f t="shared" ca="1" si="2"/>
        <v>#N/A</v>
      </c>
      <c r="BH102" s="385">
        <f t="shared" ref="BH102:BJ117" ca="1" si="8">BH101+1</f>
        <v>43593</v>
      </c>
      <c r="BI102" s="4">
        <v>412.52999998517333</v>
      </c>
      <c r="BJ102" s="385">
        <f t="shared" ca="1" si="8"/>
        <v>43593</v>
      </c>
      <c r="BL102" s="269">
        <f t="shared" ca="1" si="3"/>
        <v>0</v>
      </c>
      <c r="BM102" s="269">
        <f t="shared" ca="1" si="4"/>
        <v>0</v>
      </c>
      <c r="BN102" s="269">
        <f t="shared" ca="1" si="5"/>
        <v>0</v>
      </c>
      <c r="BO102" s="269">
        <f t="shared" ca="1" si="6"/>
        <v>0</v>
      </c>
    </row>
    <row r="103" spans="1:67" s="4" customFormat="1">
      <c r="A103" s="381"/>
      <c r="C103" s="383"/>
      <c r="D103" s="383"/>
      <c r="E103" s="383"/>
      <c r="F103" s="421"/>
      <c r="G103" s="421"/>
      <c r="H103" s="55"/>
      <c r="I103" s="50"/>
      <c r="J103" s="23"/>
      <c r="K103" s="23"/>
      <c r="L103" s="23"/>
      <c r="M103" s="23"/>
      <c r="N103" s="23"/>
      <c r="O103" s="50"/>
      <c r="P103" s="458"/>
      <c r="Q103" s="458"/>
      <c r="R103" s="458"/>
      <c r="S103" s="458"/>
      <c r="T103" s="458"/>
      <c r="U103" s="50"/>
      <c r="V103" s="23"/>
      <c r="W103" s="23"/>
      <c r="X103" s="23"/>
      <c r="Y103" s="50"/>
      <c r="Z103" s="23"/>
      <c r="AA103" s="23"/>
      <c r="AB103" s="458"/>
      <c r="AC103" s="50"/>
      <c r="AD103" s="291"/>
      <c r="AE103" s="2"/>
      <c r="AF103" s="269"/>
      <c r="AG103" s="450"/>
      <c r="AH103" s="269"/>
      <c r="AI103" s="269"/>
      <c r="AJ103" s="269"/>
      <c r="AK103" s="269"/>
      <c r="AL103" s="269"/>
      <c r="AM103" s="269"/>
      <c r="AS103" s="269"/>
      <c r="AT103" s="269"/>
      <c r="AU103" s="386">
        <v>0.8</v>
      </c>
      <c r="BA103" s="43"/>
      <c r="BB103" s="21" t="s">
        <v>243</v>
      </c>
      <c r="BC103" s="268"/>
      <c r="BD103" s="268"/>
      <c r="BG103" s="332" t="e">
        <f t="shared" ca="1" si="2"/>
        <v>#N/A</v>
      </c>
      <c r="BH103" s="385">
        <f t="shared" ca="1" si="8"/>
        <v>43594</v>
      </c>
      <c r="BI103" s="4">
        <v>412.21863944362849</v>
      </c>
      <c r="BJ103" s="385">
        <f t="shared" ca="1" si="8"/>
        <v>43594</v>
      </c>
      <c r="BL103" s="269">
        <f t="shared" ca="1" si="3"/>
        <v>0</v>
      </c>
      <c r="BM103" s="269">
        <f t="shared" ca="1" si="4"/>
        <v>0</v>
      </c>
      <c r="BN103" s="269">
        <f t="shared" ca="1" si="5"/>
        <v>0</v>
      </c>
      <c r="BO103" s="269">
        <f t="shared" ca="1" si="6"/>
        <v>0</v>
      </c>
    </row>
    <row r="104" spans="1:67" s="4" customFormat="1">
      <c r="A104" s="381"/>
      <c r="C104" s="383"/>
      <c r="D104" s="383"/>
      <c r="E104" s="383"/>
      <c r="F104" s="421"/>
      <c r="G104" s="421"/>
      <c r="H104" s="55"/>
      <c r="I104" s="50"/>
      <c r="J104" s="23"/>
      <c r="K104" s="23"/>
      <c r="L104" s="23"/>
      <c r="M104" s="23"/>
      <c r="N104" s="23"/>
      <c r="O104" s="50"/>
      <c r="P104" s="458"/>
      <c r="Q104" s="458"/>
      <c r="R104" s="458"/>
      <c r="S104" s="458"/>
      <c r="T104" s="458"/>
      <c r="U104" s="50"/>
      <c r="V104" s="23"/>
      <c r="W104" s="23"/>
      <c r="X104" s="23"/>
      <c r="Y104" s="50"/>
      <c r="Z104" s="23"/>
      <c r="AA104" s="23"/>
      <c r="AB104" s="458"/>
      <c r="AC104" s="50"/>
      <c r="AD104" s="291"/>
      <c r="AE104" s="2"/>
      <c r="AF104" s="269"/>
      <c r="AG104" s="450"/>
      <c r="AH104" s="269"/>
      <c r="AI104" s="269"/>
      <c r="AJ104" s="269"/>
      <c r="AK104" s="269"/>
      <c r="AL104" s="269"/>
      <c r="AM104" s="269"/>
      <c r="AS104" s="269"/>
      <c r="AT104" s="269"/>
      <c r="AU104" s="386">
        <v>0.79</v>
      </c>
      <c r="BA104" s="418"/>
      <c r="BB104" s="419"/>
      <c r="BC104" s="21" t="s">
        <v>241</v>
      </c>
      <c r="BD104" s="268"/>
      <c r="BG104" s="332" t="e">
        <f t="shared" ca="1" si="2"/>
        <v>#N/A</v>
      </c>
      <c r="BH104" s="385">
        <f t="shared" ca="1" si="8"/>
        <v>43595</v>
      </c>
      <c r="BI104" s="4">
        <v>411.80574828265236</v>
      </c>
      <c r="BJ104" s="385">
        <f t="shared" ca="1" si="8"/>
        <v>43595</v>
      </c>
      <c r="BL104" s="269">
        <f t="shared" ca="1" si="3"/>
        <v>0</v>
      </c>
      <c r="BM104" s="269">
        <f t="shared" ca="1" si="4"/>
        <v>0</v>
      </c>
      <c r="BN104" s="269">
        <f t="shared" ca="1" si="5"/>
        <v>0</v>
      </c>
      <c r="BO104" s="269">
        <f t="shared" ca="1" si="6"/>
        <v>0</v>
      </c>
    </row>
    <row r="105" spans="1:67" s="4" customFormat="1">
      <c r="A105" s="381"/>
      <c r="C105" s="383"/>
      <c r="D105" s="383"/>
      <c r="E105" s="383"/>
      <c r="F105" s="421"/>
      <c r="G105" s="421"/>
      <c r="H105" s="55"/>
      <c r="I105" s="50"/>
      <c r="J105" s="23"/>
      <c r="K105" s="23"/>
      <c r="L105" s="23"/>
      <c r="M105" s="23"/>
      <c r="N105" s="23"/>
      <c r="O105" s="50"/>
      <c r="P105" s="458"/>
      <c r="Q105" s="458"/>
      <c r="R105" s="458"/>
      <c r="S105" s="458"/>
      <c r="T105" s="458"/>
      <c r="U105" s="50"/>
      <c r="V105" s="23"/>
      <c r="W105" s="23"/>
      <c r="X105" s="23"/>
      <c r="Y105" s="50"/>
      <c r="Z105" s="23"/>
      <c r="AA105" s="23"/>
      <c r="AB105" s="458"/>
      <c r="AC105" s="50"/>
      <c r="AD105" s="291"/>
      <c r="AE105" s="2"/>
      <c r="AF105" s="269"/>
      <c r="AG105" s="450"/>
      <c r="AH105" s="269"/>
      <c r="AI105" s="269"/>
      <c r="AJ105" s="269"/>
      <c r="AK105" s="269"/>
      <c r="AL105" s="269"/>
      <c r="AM105" s="269"/>
      <c r="AS105" s="269"/>
      <c r="AT105" s="269"/>
      <c r="AU105" s="386">
        <v>0.78</v>
      </c>
      <c r="BA105" s="345" t="s">
        <v>252</v>
      </c>
      <c r="BB105" s="467"/>
      <c r="BC105" s="420">
        <f ca="1">DATE(YEAR(H15)-RMAData!$L$5,MONTH(H15),DAY(H15))</f>
        <v>41091</v>
      </c>
      <c r="BE105" s="273"/>
      <c r="BG105" s="332" t="e">
        <f t="shared" ca="1" si="2"/>
        <v>#N/A</v>
      </c>
      <c r="BH105" s="385">
        <f t="shared" ca="1" si="8"/>
        <v>43596</v>
      </c>
      <c r="BI105" s="4">
        <v>411.29132652077823</v>
      </c>
      <c r="BJ105" s="385">
        <f t="shared" ca="1" si="8"/>
        <v>43596</v>
      </c>
      <c r="BL105" s="269">
        <f t="shared" ca="1" si="3"/>
        <v>0</v>
      </c>
      <c r="BM105" s="269">
        <f t="shared" ca="1" si="4"/>
        <v>0</v>
      </c>
      <c r="BN105" s="269">
        <f t="shared" ca="1" si="5"/>
        <v>0</v>
      </c>
      <c r="BO105" s="269">
        <f t="shared" ca="1" si="6"/>
        <v>0</v>
      </c>
    </row>
    <row r="106" spans="1:67" s="4" customFormat="1" ht="14.25">
      <c r="A106" s="381"/>
      <c r="C106" s="383"/>
      <c r="D106" s="383"/>
      <c r="E106" s="383"/>
      <c r="F106" s="421"/>
      <c r="G106" s="421"/>
      <c r="H106" s="55"/>
      <c r="I106" s="50"/>
      <c r="J106" s="23"/>
      <c r="K106" s="23"/>
      <c r="L106" s="23"/>
      <c r="M106" s="23"/>
      <c r="N106" s="23"/>
      <c r="O106" s="50"/>
      <c r="P106" s="458"/>
      <c r="Q106" s="458"/>
      <c r="R106" s="458"/>
      <c r="S106" s="458"/>
      <c r="T106" s="458"/>
      <c r="U106" s="50"/>
      <c r="V106" s="23"/>
      <c r="W106" s="23"/>
      <c r="X106" s="23"/>
      <c r="Y106" s="50"/>
      <c r="Z106" s="23"/>
      <c r="AA106" s="23"/>
      <c r="AB106" s="458"/>
      <c r="AC106" s="50"/>
      <c r="AD106" s="291"/>
      <c r="AE106" s="2"/>
      <c r="AF106" s="269"/>
      <c r="AG106" s="450"/>
      <c r="AH106" s="269"/>
      <c r="AI106" s="269"/>
      <c r="AJ106" s="269"/>
      <c r="AK106" s="269"/>
      <c r="AL106" s="269"/>
      <c r="AM106" s="269"/>
      <c r="AS106" s="269"/>
      <c r="AT106" s="269"/>
      <c r="AU106" s="386">
        <v>0.77</v>
      </c>
      <c r="BA106" s="19"/>
      <c r="BB106" s="280"/>
      <c r="BC106" s="344"/>
      <c r="BD106" s="269"/>
      <c r="BE106" s="273"/>
      <c r="BG106" s="332" t="e">
        <f t="shared" ca="1" si="2"/>
        <v>#N/A</v>
      </c>
      <c r="BH106" s="385">
        <f t="shared" ca="1" si="8"/>
        <v>43597</v>
      </c>
      <c r="BI106" s="4">
        <v>410.67537413947286</v>
      </c>
      <c r="BJ106" s="385">
        <f t="shared" ca="1" si="8"/>
        <v>43597</v>
      </c>
      <c r="BL106" s="269">
        <f t="shared" ca="1" si="3"/>
        <v>0</v>
      </c>
      <c r="BM106" s="269">
        <f t="shared" ca="1" si="4"/>
        <v>0</v>
      </c>
      <c r="BN106" s="269">
        <f t="shared" ca="1" si="5"/>
        <v>0</v>
      </c>
      <c r="BO106" s="269">
        <f t="shared" ca="1" si="6"/>
        <v>0</v>
      </c>
    </row>
    <row r="107" spans="1:67" s="4" customFormat="1">
      <c r="A107" s="381"/>
      <c r="C107" s="383"/>
      <c r="D107" s="383"/>
      <c r="E107" s="383"/>
      <c r="F107" s="421"/>
      <c r="G107" s="421"/>
      <c r="H107" s="55"/>
      <c r="I107" s="50"/>
      <c r="J107" s="23"/>
      <c r="K107" s="23"/>
      <c r="L107" s="23"/>
      <c r="M107" s="23"/>
      <c r="N107" s="23"/>
      <c r="O107" s="50"/>
      <c r="P107" s="458"/>
      <c r="Q107" s="458"/>
      <c r="R107" s="458"/>
      <c r="S107" s="458"/>
      <c r="T107" s="458"/>
      <c r="U107" s="50"/>
      <c r="V107" s="23"/>
      <c r="W107" s="23"/>
      <c r="X107" s="23"/>
      <c r="Y107" s="50"/>
      <c r="Z107" s="23"/>
      <c r="AA107" s="23"/>
      <c r="AB107" s="458"/>
      <c r="AC107" s="50"/>
      <c r="AD107" s="291"/>
      <c r="AE107" s="2"/>
      <c r="AF107" s="269"/>
      <c r="AG107" s="450"/>
      <c r="AH107" s="269"/>
      <c r="AI107" s="269"/>
      <c r="AJ107" s="269"/>
      <c r="AK107" s="269"/>
      <c r="AL107" s="269"/>
      <c r="AM107" s="269"/>
      <c r="AS107" s="269"/>
      <c r="AT107" s="269"/>
      <c r="AU107" s="386">
        <v>0.76</v>
      </c>
      <c r="BE107" s="399"/>
      <c r="BG107" s="332" t="e">
        <f t="shared" ca="1" si="2"/>
        <v>#N/A</v>
      </c>
      <c r="BH107" s="385">
        <f t="shared" ca="1" si="8"/>
        <v>43598</v>
      </c>
      <c r="BI107" s="4">
        <v>409.9578911572695</v>
      </c>
      <c r="BJ107" s="385">
        <f t="shared" ref="BJ107:BJ170" ca="1" si="9">BH107</f>
        <v>43598</v>
      </c>
      <c r="BL107" s="269">
        <f t="shared" ca="1" si="3"/>
        <v>0</v>
      </c>
      <c r="BM107" s="269">
        <f t="shared" ca="1" si="4"/>
        <v>0</v>
      </c>
      <c r="BN107" s="269">
        <f t="shared" ca="1" si="5"/>
        <v>0</v>
      </c>
      <c r="BO107" s="269">
        <f t="shared" ca="1" si="6"/>
        <v>0</v>
      </c>
    </row>
    <row r="108" spans="1:67" s="4" customFormat="1">
      <c r="A108" s="381"/>
      <c r="C108" s="383"/>
      <c r="D108" s="383"/>
      <c r="E108" s="383"/>
      <c r="F108" s="421"/>
      <c r="G108" s="421"/>
      <c r="H108" s="55"/>
      <c r="I108" s="50"/>
      <c r="J108" s="23"/>
      <c r="K108" s="23"/>
      <c r="L108" s="23"/>
      <c r="M108" s="23"/>
      <c r="N108" s="23"/>
      <c r="O108" s="50"/>
      <c r="P108" s="458"/>
      <c r="Q108" s="458"/>
      <c r="R108" s="458"/>
      <c r="S108" s="458"/>
      <c r="T108" s="458"/>
      <c r="U108" s="50"/>
      <c r="V108" s="23"/>
      <c r="W108" s="23"/>
      <c r="X108" s="23"/>
      <c r="Y108" s="50"/>
      <c r="Z108" s="23"/>
      <c r="AA108" s="23"/>
      <c r="AB108" s="458"/>
      <c r="AC108" s="50"/>
      <c r="AD108" s="291"/>
      <c r="AE108" s="2"/>
      <c r="AF108" s="269"/>
      <c r="AG108" s="450"/>
      <c r="AH108" s="269"/>
      <c r="AI108" s="269"/>
      <c r="AJ108" s="269"/>
      <c r="AK108" s="269"/>
      <c r="AL108" s="269"/>
      <c r="AM108" s="269"/>
      <c r="AS108" s="269"/>
      <c r="AT108" s="269"/>
      <c r="AU108" s="386">
        <v>0.75</v>
      </c>
      <c r="BA108" s="399"/>
      <c r="BB108" s="422"/>
      <c r="BC108" s="400"/>
      <c r="BD108" s="399"/>
      <c r="BE108" s="399"/>
      <c r="BG108" s="332" t="e">
        <f t="shared" ca="1" si="2"/>
        <v>#N/A</v>
      </c>
      <c r="BH108" s="385">
        <f t="shared" ca="1" si="8"/>
        <v>43599</v>
      </c>
      <c r="BI108" s="4">
        <v>409.13887755563485</v>
      </c>
      <c r="BJ108" s="385">
        <f t="shared" ca="1" si="9"/>
        <v>43599</v>
      </c>
      <c r="BL108" s="269">
        <f t="shared" ca="1" si="3"/>
        <v>0</v>
      </c>
      <c r="BM108" s="269">
        <f t="shared" ca="1" si="4"/>
        <v>0</v>
      </c>
      <c r="BN108" s="269">
        <f t="shared" ca="1" si="5"/>
        <v>0</v>
      </c>
      <c r="BO108" s="269">
        <f t="shared" ca="1" si="6"/>
        <v>0</v>
      </c>
    </row>
    <row r="109" spans="1:67" s="4" customFormat="1">
      <c r="A109" s="381"/>
      <c r="C109" s="383"/>
      <c r="D109" s="383"/>
      <c r="E109" s="383"/>
      <c r="F109" s="421"/>
      <c r="G109" s="421"/>
      <c r="H109" s="55"/>
      <c r="I109" s="50"/>
      <c r="J109" s="23"/>
      <c r="K109" s="23"/>
      <c r="L109" s="23"/>
      <c r="M109" s="23"/>
      <c r="N109" s="23"/>
      <c r="O109" s="50"/>
      <c r="P109" s="458"/>
      <c r="Q109" s="458"/>
      <c r="R109" s="458"/>
      <c r="S109" s="458"/>
      <c r="T109" s="458"/>
      <c r="U109" s="50"/>
      <c r="V109" s="23"/>
      <c r="W109" s="23"/>
      <c r="X109" s="23"/>
      <c r="Y109" s="50"/>
      <c r="Z109" s="23"/>
      <c r="AA109" s="23"/>
      <c r="AB109" s="458"/>
      <c r="AC109" s="50"/>
      <c r="AD109" s="291"/>
      <c r="AE109" s="2"/>
      <c r="AF109" s="269"/>
      <c r="AG109" s="450"/>
      <c r="AH109" s="269"/>
      <c r="AI109" s="269"/>
      <c r="AJ109" s="269"/>
      <c r="AK109" s="269"/>
      <c r="AL109" s="269"/>
      <c r="AM109" s="269"/>
      <c r="AS109" s="269"/>
      <c r="AT109" s="269"/>
      <c r="AU109" s="386">
        <v>0.74</v>
      </c>
      <c r="BA109" s="399"/>
      <c r="BB109" s="400"/>
      <c r="BC109" s="400"/>
      <c r="BD109" s="399"/>
      <c r="BE109" s="399"/>
      <c r="BG109" s="332" t="e">
        <f t="shared" ca="1" si="2"/>
        <v>#N/A</v>
      </c>
      <c r="BH109" s="385">
        <f t="shared" ca="1" si="8"/>
        <v>43600</v>
      </c>
      <c r="BI109" s="4">
        <v>408.21833333456891</v>
      </c>
      <c r="BJ109" s="385">
        <f t="shared" ca="1" si="9"/>
        <v>43600</v>
      </c>
      <c r="BL109" s="269">
        <f t="shared" ca="1" si="3"/>
        <v>0</v>
      </c>
      <c r="BM109" s="269">
        <f t="shared" ca="1" si="4"/>
        <v>0</v>
      </c>
      <c r="BN109" s="269">
        <f t="shared" ca="1" si="5"/>
        <v>0</v>
      </c>
      <c r="BO109" s="269">
        <f t="shared" ca="1" si="6"/>
        <v>0</v>
      </c>
    </row>
    <row r="110" spans="1:67" s="4" customFormat="1">
      <c r="A110" s="381"/>
      <c r="C110" s="383"/>
      <c r="D110" s="383"/>
      <c r="E110" s="383"/>
      <c r="F110" s="421"/>
      <c r="G110" s="421"/>
      <c r="H110" s="55"/>
      <c r="I110" s="50"/>
      <c r="J110" s="23"/>
      <c r="K110" s="23"/>
      <c r="L110" s="23"/>
      <c r="M110" s="23"/>
      <c r="N110" s="23"/>
      <c r="O110" s="50"/>
      <c r="P110" s="458"/>
      <c r="Q110" s="458"/>
      <c r="R110" s="458"/>
      <c r="S110" s="458"/>
      <c r="T110" s="458"/>
      <c r="U110" s="50"/>
      <c r="V110" s="23"/>
      <c r="W110" s="23"/>
      <c r="X110" s="23"/>
      <c r="Y110" s="50"/>
      <c r="Z110" s="23"/>
      <c r="AA110" s="23"/>
      <c r="AB110" s="458"/>
      <c r="AC110" s="50"/>
      <c r="AD110" s="291"/>
      <c r="AE110" s="2"/>
      <c r="AF110" s="269"/>
      <c r="AG110" s="450"/>
      <c r="AH110" s="269"/>
      <c r="AI110" s="269"/>
      <c r="AJ110" s="269"/>
      <c r="AK110" s="269"/>
      <c r="AL110" s="269"/>
      <c r="AM110" s="269"/>
      <c r="AS110" s="269"/>
      <c r="AT110" s="269"/>
      <c r="AU110" s="386">
        <v>0.73</v>
      </c>
      <c r="BA110" s="399"/>
      <c r="BB110" s="400"/>
      <c r="BC110" s="400"/>
      <c r="BD110" s="399"/>
      <c r="BE110" s="399"/>
      <c r="BG110" s="332" t="e">
        <f t="shared" ca="1" si="2"/>
        <v>#N/A</v>
      </c>
      <c r="BH110" s="385">
        <f t="shared" ca="1" si="8"/>
        <v>43601</v>
      </c>
      <c r="BI110" s="4">
        <v>407.19625851260497</v>
      </c>
      <c r="BJ110" s="385">
        <f t="shared" ca="1" si="9"/>
        <v>43601</v>
      </c>
      <c r="BL110" s="269">
        <f t="shared" ca="1" si="3"/>
        <v>0</v>
      </c>
      <c r="BM110" s="269">
        <f t="shared" ca="1" si="4"/>
        <v>0</v>
      </c>
      <c r="BN110" s="269">
        <f t="shared" ca="1" si="5"/>
        <v>0</v>
      </c>
      <c r="BO110" s="269">
        <f t="shared" ca="1" si="6"/>
        <v>0</v>
      </c>
    </row>
    <row r="111" spans="1:67" s="4" customFormat="1">
      <c r="A111" s="381"/>
      <c r="C111" s="383"/>
      <c r="D111" s="383"/>
      <c r="E111" s="383"/>
      <c r="F111" s="421"/>
      <c r="G111" s="421"/>
      <c r="H111" s="55"/>
      <c r="I111" s="50"/>
      <c r="J111" s="23"/>
      <c r="K111" s="23"/>
      <c r="L111" s="23"/>
      <c r="M111" s="23"/>
      <c r="N111" s="23"/>
      <c r="O111" s="50"/>
      <c r="P111" s="458"/>
      <c r="Q111" s="458"/>
      <c r="R111" s="458"/>
      <c r="S111" s="458"/>
      <c r="T111" s="458"/>
      <c r="U111" s="50"/>
      <c r="V111" s="23"/>
      <c r="W111" s="23"/>
      <c r="X111" s="23"/>
      <c r="Y111" s="50"/>
      <c r="Z111" s="23"/>
      <c r="AA111" s="23"/>
      <c r="AB111" s="458"/>
      <c r="AC111" s="50"/>
      <c r="AF111" s="269"/>
      <c r="AG111" s="450"/>
      <c r="AH111" s="269"/>
      <c r="AI111" s="269"/>
      <c r="AJ111" s="269"/>
      <c r="AK111" s="269"/>
      <c r="AL111" s="269"/>
      <c r="AM111" s="269"/>
      <c r="AS111" s="269"/>
      <c r="AT111" s="269"/>
      <c r="AU111" s="386">
        <v>0.72</v>
      </c>
      <c r="BA111" s="423" t="s">
        <v>254</v>
      </c>
      <c r="BB111" s="400"/>
      <c r="BC111" s="400"/>
      <c r="BD111" s="399"/>
      <c r="BE111" s="399"/>
      <c r="BG111" s="332" t="e">
        <f t="shared" ca="1" si="2"/>
        <v>#N/A</v>
      </c>
      <c r="BH111" s="385">
        <f t="shared" ca="1" si="8"/>
        <v>43602</v>
      </c>
      <c r="BI111" s="4">
        <v>406.0726530712098</v>
      </c>
      <c r="BJ111" s="385">
        <f t="shared" ca="1" si="9"/>
        <v>43602</v>
      </c>
      <c r="BL111" s="269">
        <f t="shared" ca="1" si="3"/>
        <v>0</v>
      </c>
      <c r="BM111" s="269">
        <f t="shared" ca="1" si="4"/>
        <v>0</v>
      </c>
      <c r="BN111" s="269">
        <f t="shared" ca="1" si="5"/>
        <v>0</v>
      </c>
      <c r="BO111" s="269">
        <f t="shared" ca="1" si="6"/>
        <v>0</v>
      </c>
    </row>
    <row r="112" spans="1:67" s="4" customFormat="1">
      <c r="A112" s="381"/>
      <c r="C112" s="383"/>
      <c r="D112" s="383"/>
      <c r="E112" s="383"/>
      <c r="F112" s="421"/>
      <c r="G112" s="421"/>
      <c r="H112" s="55"/>
      <c r="I112" s="50"/>
      <c r="J112" s="23"/>
      <c r="K112" s="23"/>
      <c r="L112" s="23"/>
      <c r="M112" s="23"/>
      <c r="N112" s="23"/>
      <c r="O112" s="50"/>
      <c r="P112" s="458"/>
      <c r="Q112" s="458"/>
      <c r="R112" s="458"/>
      <c r="S112" s="458"/>
      <c r="T112" s="458"/>
      <c r="U112" s="50"/>
      <c r="V112" s="23"/>
      <c r="W112" s="23"/>
      <c r="X112" s="23"/>
      <c r="Y112" s="50"/>
      <c r="Z112" s="23"/>
      <c r="AA112" s="23"/>
      <c r="AB112" s="458"/>
      <c r="AC112" s="50"/>
      <c r="AF112" s="269"/>
      <c r="AG112" s="450"/>
      <c r="AH112" s="269"/>
      <c r="AI112" s="269"/>
      <c r="AJ112" s="269"/>
      <c r="AK112" s="269"/>
      <c r="AL112" s="269"/>
      <c r="AM112" s="269"/>
      <c r="AS112" s="269"/>
      <c r="AT112" s="269"/>
      <c r="AU112" s="386">
        <v>0.71</v>
      </c>
      <c r="BA112" s="383"/>
      <c r="BB112" s="424" t="s">
        <v>38</v>
      </c>
      <c r="BC112" s="421"/>
      <c r="BD112" s="200" t="s">
        <v>40</v>
      </c>
      <c r="BG112" s="332" t="e">
        <f t="shared" ca="1" si="2"/>
        <v>#N/A</v>
      </c>
      <c r="BH112" s="385">
        <f t="shared" ca="1" si="8"/>
        <v>43603</v>
      </c>
      <c r="BI112" s="4">
        <v>404.84751697331666</v>
      </c>
      <c r="BJ112" s="385">
        <f t="shared" ca="1" si="9"/>
        <v>43603</v>
      </c>
      <c r="BL112" s="269">
        <f t="shared" ca="1" si="3"/>
        <v>0</v>
      </c>
      <c r="BM112" s="269">
        <f t="shared" ca="1" si="4"/>
        <v>0</v>
      </c>
      <c r="BN112" s="269">
        <f t="shared" ca="1" si="5"/>
        <v>0</v>
      </c>
      <c r="BO112" s="269">
        <f t="shared" ca="1" si="6"/>
        <v>0</v>
      </c>
    </row>
    <row r="113" spans="1:67" s="4" customFormat="1">
      <c r="A113" s="381"/>
      <c r="C113" s="383"/>
      <c r="D113" s="383"/>
      <c r="E113" s="383"/>
      <c r="F113" s="421"/>
      <c r="G113" s="421"/>
      <c r="H113" s="55"/>
      <c r="I113" s="50"/>
      <c r="J113" s="23"/>
      <c r="K113" s="23"/>
      <c r="L113" s="23"/>
      <c r="M113" s="23"/>
      <c r="N113" s="23"/>
      <c r="O113" s="50"/>
      <c r="P113" s="458"/>
      <c r="Q113" s="458"/>
      <c r="R113" s="458"/>
      <c r="S113" s="458"/>
      <c r="T113" s="458"/>
      <c r="U113" s="50"/>
      <c r="V113" s="23"/>
      <c r="W113" s="23"/>
      <c r="X113" s="23"/>
      <c r="Y113" s="50"/>
      <c r="Z113" s="23"/>
      <c r="AA113" s="23"/>
      <c r="AB113" s="458"/>
      <c r="AC113" s="50"/>
      <c r="AF113" s="269"/>
      <c r="AG113" s="450"/>
      <c r="AH113" s="269"/>
      <c r="AI113" s="269"/>
      <c r="AJ113" s="269"/>
      <c r="AK113" s="269"/>
      <c r="AL113" s="269"/>
      <c r="AM113" s="269"/>
      <c r="AS113" s="269"/>
      <c r="AT113" s="269"/>
      <c r="AU113" s="386">
        <v>0.7</v>
      </c>
      <c r="BA113" s="424" t="s">
        <v>253</v>
      </c>
      <c r="BB113" s="19"/>
      <c r="BC113" s="19" t="s">
        <v>241</v>
      </c>
      <c r="BD113" s="19"/>
      <c r="BE113" s="19" t="s">
        <v>241</v>
      </c>
      <c r="BG113" s="332" t="e">
        <f t="shared" ca="1" si="2"/>
        <v>#N/A</v>
      </c>
      <c r="BH113" s="385">
        <f t="shared" ca="1" si="8"/>
        <v>43604</v>
      </c>
      <c r="BI113" s="4">
        <v>403.5208503115922</v>
      </c>
      <c r="BJ113" s="385">
        <f t="shared" ca="1" si="9"/>
        <v>43604</v>
      </c>
      <c r="BL113" s="269">
        <f t="shared" ca="1" si="3"/>
        <v>0</v>
      </c>
      <c r="BM113" s="269">
        <f t="shared" ca="1" si="4"/>
        <v>0</v>
      </c>
      <c r="BN113" s="269">
        <f t="shared" ca="1" si="5"/>
        <v>0</v>
      </c>
      <c r="BO113" s="269">
        <f t="shared" ca="1" si="6"/>
        <v>0</v>
      </c>
    </row>
    <row r="114" spans="1:67">
      <c r="C114" s="373"/>
      <c r="D114" s="373"/>
      <c r="E114" s="373"/>
      <c r="F114" s="276"/>
      <c r="G114" s="276"/>
      <c r="H114" s="276"/>
      <c r="I114" s="276"/>
      <c r="J114" s="276"/>
      <c r="L114" s="276"/>
      <c r="M114" s="276"/>
      <c r="N114" s="276"/>
      <c r="O114" s="276"/>
      <c r="P114" s="276"/>
      <c r="Q114" s="276"/>
      <c r="R114" s="276"/>
      <c r="S114" s="276"/>
      <c r="T114" s="276"/>
      <c r="U114" s="276"/>
      <c r="V114" s="276"/>
      <c r="W114" s="276"/>
      <c r="X114" s="276"/>
      <c r="Y114" s="276"/>
      <c r="Z114" s="276"/>
      <c r="AA114" s="276"/>
      <c r="AB114" s="276"/>
      <c r="AC114" s="276"/>
      <c r="AG114" s="450"/>
      <c r="AU114" s="386">
        <v>0.69</v>
      </c>
      <c r="BA114" s="424" t="s">
        <v>238</v>
      </c>
      <c r="BB114" s="425"/>
      <c r="BC114" s="425">
        <v>-17181786.020406116</v>
      </c>
      <c r="BD114" s="425"/>
      <c r="BE114" s="425">
        <v>-14710355.179590281</v>
      </c>
      <c r="BG114" s="332" t="e">
        <f t="shared" ca="1" si="2"/>
        <v>#N/A</v>
      </c>
      <c r="BH114" s="385">
        <f t="shared" ca="1" si="8"/>
        <v>43605</v>
      </c>
      <c r="BI114" s="269">
        <v>402.09265303043651</v>
      </c>
      <c r="BJ114" s="385">
        <f t="shared" ca="1" si="9"/>
        <v>43605</v>
      </c>
      <c r="BL114" s="269">
        <f t="shared" ca="1" si="3"/>
        <v>0</v>
      </c>
      <c r="BM114" s="269">
        <f t="shared" ca="1" si="4"/>
        <v>0</v>
      </c>
      <c r="BN114" s="269">
        <f t="shared" ca="1" si="5"/>
        <v>0</v>
      </c>
      <c r="BO114" s="269">
        <f t="shared" ca="1" si="6"/>
        <v>0</v>
      </c>
    </row>
    <row r="115" spans="1:67">
      <c r="C115" s="276"/>
      <c r="D115" s="276"/>
      <c r="E115" s="276"/>
      <c r="F115" s="276"/>
      <c r="G115" s="276"/>
      <c r="H115" s="276"/>
      <c r="I115" s="276"/>
      <c r="J115" s="276"/>
      <c r="L115" s="276"/>
      <c r="M115" s="276"/>
      <c r="N115" s="276"/>
      <c r="O115" s="276"/>
      <c r="P115" s="276"/>
      <c r="Q115" s="276"/>
      <c r="R115" s="276"/>
      <c r="S115" s="276"/>
      <c r="T115" s="276"/>
      <c r="U115" s="276"/>
      <c r="V115" s="276"/>
      <c r="W115" s="276"/>
      <c r="X115" s="276"/>
      <c r="Y115" s="276"/>
      <c r="Z115" s="276"/>
      <c r="AA115" s="276"/>
      <c r="AB115" s="276"/>
      <c r="AC115" s="276"/>
      <c r="AG115" s="450"/>
      <c r="AU115" s="386">
        <v>0.68</v>
      </c>
      <c r="BA115" s="424" t="s">
        <v>239</v>
      </c>
      <c r="BB115" s="425"/>
      <c r="BC115" s="425">
        <v>837.43741496588643</v>
      </c>
      <c r="BD115" s="425"/>
      <c r="BE115" s="425">
        <v>716.93910018545284</v>
      </c>
      <c r="BG115" s="332" t="e">
        <f t="shared" ca="1" si="2"/>
        <v>#N/A</v>
      </c>
      <c r="BH115" s="385">
        <f t="shared" ca="1" si="8"/>
        <v>43606</v>
      </c>
      <c r="BI115" s="269">
        <v>400.56292514838276</v>
      </c>
      <c r="BJ115" s="385">
        <f t="shared" ca="1" si="9"/>
        <v>43606</v>
      </c>
      <c r="BL115" s="269">
        <f t="shared" ca="1" si="3"/>
        <v>0</v>
      </c>
      <c r="BM115" s="269">
        <f t="shared" ca="1" si="4"/>
        <v>0</v>
      </c>
      <c r="BN115" s="269">
        <f t="shared" ca="1" si="5"/>
        <v>0</v>
      </c>
      <c r="BO115" s="269">
        <f t="shared" ca="1" si="6"/>
        <v>0</v>
      </c>
    </row>
    <row r="116" spans="1:67" ht="13.5" thickBot="1">
      <c r="AG116" s="450"/>
      <c r="AU116" s="386">
        <v>0.67</v>
      </c>
      <c r="BA116" s="424" t="s">
        <v>240</v>
      </c>
      <c r="BB116" s="426"/>
      <c r="BC116" s="426">
        <v>-1.0204081632651843E-2</v>
      </c>
      <c r="BD116" s="426"/>
      <c r="BE116" s="426">
        <v>-8.7353123067399532E-3</v>
      </c>
      <c r="BG116" s="332" t="e">
        <f t="shared" ca="1" si="2"/>
        <v>#N/A</v>
      </c>
      <c r="BH116" s="385">
        <f t="shared" ca="1" si="8"/>
        <v>43607</v>
      </c>
      <c r="BI116" s="269">
        <v>398.93166664689778</v>
      </c>
      <c r="BJ116" s="385">
        <f t="shared" ca="1" si="9"/>
        <v>43607</v>
      </c>
      <c r="BL116" s="269">
        <f t="shared" ca="1" si="3"/>
        <v>0</v>
      </c>
      <c r="BM116" s="269">
        <f t="shared" ca="1" si="4"/>
        <v>0</v>
      </c>
      <c r="BN116" s="269">
        <f t="shared" ca="1" si="5"/>
        <v>0</v>
      </c>
      <c r="BO116" s="269">
        <f t="shared" ca="1" si="6"/>
        <v>0</v>
      </c>
    </row>
    <row r="117" spans="1:67">
      <c r="AG117" s="450"/>
      <c r="AU117" s="386">
        <v>0.66</v>
      </c>
      <c r="BA117" s="424" t="s">
        <v>242</v>
      </c>
      <c r="BB117" s="386"/>
      <c r="BC117" s="386">
        <f ca="1">(BC114+$BC$105*BC115+$BC$105^2*BC116)/100</f>
        <v>0.66216326531022784</v>
      </c>
      <c r="BD117" s="386"/>
      <c r="BE117" s="386">
        <f ca="1">(BE114+$BC$105*BE115+$BC$105^2*BE116)/100</f>
        <v>0.741609461940825</v>
      </c>
      <c r="BG117" s="332" t="e">
        <f t="shared" ca="1" si="2"/>
        <v>#N/A</v>
      </c>
      <c r="BH117" s="385">
        <f t="shared" ca="1" si="8"/>
        <v>43608</v>
      </c>
      <c r="BI117" s="269">
        <v>397.19887754451486</v>
      </c>
      <c r="BJ117" s="385">
        <f t="shared" ca="1" si="9"/>
        <v>43608</v>
      </c>
      <c r="BL117" s="269">
        <f t="shared" ca="1" si="3"/>
        <v>0</v>
      </c>
      <c r="BM117" s="269">
        <f t="shared" ca="1" si="4"/>
        <v>0</v>
      </c>
      <c r="BN117" s="269">
        <f t="shared" ca="1" si="5"/>
        <v>0</v>
      </c>
      <c r="BO117" s="269">
        <f t="shared" ca="1" si="6"/>
        <v>0</v>
      </c>
    </row>
    <row r="118" spans="1:67">
      <c r="AG118" s="450"/>
      <c r="AU118" s="386">
        <v>0.65</v>
      </c>
      <c r="BB118" s="425"/>
      <c r="BD118" s="425"/>
      <c r="BG118" s="332" t="e">
        <f t="shared" ca="1" si="2"/>
        <v>#N/A</v>
      </c>
      <c r="BH118" s="385">
        <f t="shared" ref="BH118:BH181" ca="1" si="10">BH117+1</f>
        <v>43609</v>
      </c>
      <c r="BI118" s="269">
        <v>395.36455782270059</v>
      </c>
      <c r="BJ118" s="385">
        <f t="shared" ca="1" si="9"/>
        <v>43609</v>
      </c>
      <c r="BL118" s="269">
        <f t="shared" ca="1" si="3"/>
        <v>0</v>
      </c>
      <c r="BM118" s="269">
        <f t="shared" ca="1" si="4"/>
        <v>0</v>
      </c>
      <c r="BN118" s="269">
        <f t="shared" ca="1" si="5"/>
        <v>0</v>
      </c>
      <c r="BO118" s="269">
        <f t="shared" ca="1" si="6"/>
        <v>0</v>
      </c>
    </row>
    <row r="119" spans="1:67">
      <c r="AG119" s="450"/>
      <c r="AU119" s="386">
        <v>0.64</v>
      </c>
      <c r="BG119" s="332" t="e">
        <f t="shared" ca="1" si="2"/>
        <v>#N/A</v>
      </c>
      <c r="BH119" s="385">
        <f t="shared" ca="1" si="10"/>
        <v>43610</v>
      </c>
      <c r="BI119" s="269">
        <v>393.42870748145504</v>
      </c>
      <c r="BJ119" s="385">
        <f t="shared" ca="1" si="9"/>
        <v>43610</v>
      </c>
      <c r="BL119" s="269">
        <f t="shared" ca="1" si="3"/>
        <v>0</v>
      </c>
      <c r="BM119" s="269">
        <f t="shared" ca="1" si="4"/>
        <v>0</v>
      </c>
      <c r="BN119" s="269">
        <f t="shared" ca="1" si="5"/>
        <v>0</v>
      </c>
      <c r="BO119" s="269">
        <f t="shared" ca="1" si="6"/>
        <v>0</v>
      </c>
    </row>
    <row r="120" spans="1:67">
      <c r="AG120" s="450"/>
      <c r="AU120" s="386">
        <v>0.63</v>
      </c>
      <c r="BA120" s="424" t="s">
        <v>251</v>
      </c>
      <c r="BG120" s="332" t="e">
        <f t="shared" ca="1" si="2"/>
        <v>#N/A</v>
      </c>
      <c r="BH120" s="385">
        <f t="shared" ca="1" si="10"/>
        <v>43611</v>
      </c>
      <c r="BI120" s="269">
        <v>391.39132652077825</v>
      </c>
      <c r="BJ120" s="385">
        <f t="shared" ca="1" si="9"/>
        <v>43611</v>
      </c>
      <c r="BL120" s="269">
        <f t="shared" ca="1" si="3"/>
        <v>0</v>
      </c>
      <c r="BM120" s="269">
        <f t="shared" ca="1" si="4"/>
        <v>0</v>
      </c>
      <c r="BN120" s="269">
        <f t="shared" ca="1" si="5"/>
        <v>0</v>
      </c>
      <c r="BO120" s="269">
        <f t="shared" ca="1" si="6"/>
        <v>0</v>
      </c>
    </row>
    <row r="121" spans="1:67">
      <c r="AG121" s="450"/>
      <c r="AU121" s="386">
        <v>0.62</v>
      </c>
      <c r="BA121" s="424" t="s">
        <v>255</v>
      </c>
      <c r="BB121" s="427"/>
      <c r="BC121" s="427">
        <v>41037</v>
      </c>
      <c r="BD121" s="427"/>
      <c r="BE121" s="427">
        <v>41037</v>
      </c>
      <c r="BG121" s="332" t="e">
        <f t="shared" ca="1" si="2"/>
        <v>#N/A</v>
      </c>
      <c r="BH121" s="385">
        <f t="shared" ca="1" si="10"/>
        <v>43612</v>
      </c>
      <c r="BI121" s="269">
        <v>389.25241495920346</v>
      </c>
      <c r="BJ121" s="385">
        <f t="shared" ca="1" si="9"/>
        <v>43612</v>
      </c>
      <c r="BL121" s="269">
        <f t="shared" ca="1" si="3"/>
        <v>0</v>
      </c>
      <c r="BM121" s="269">
        <f t="shared" ca="1" si="4"/>
        <v>0</v>
      </c>
      <c r="BN121" s="269">
        <f t="shared" ca="1" si="5"/>
        <v>0</v>
      </c>
      <c r="BO121" s="269">
        <f t="shared" ca="1" si="6"/>
        <v>0</v>
      </c>
    </row>
    <row r="122" spans="1:67">
      <c r="AG122" s="450"/>
      <c r="AU122" s="386">
        <v>0.61</v>
      </c>
      <c r="BA122" s="424" t="s">
        <v>256</v>
      </c>
      <c r="BB122" s="427"/>
      <c r="BC122" s="427">
        <v>41100</v>
      </c>
      <c r="BD122" s="427"/>
      <c r="BE122" s="427">
        <v>41100</v>
      </c>
      <c r="BG122" s="332" t="e">
        <f t="shared" ca="1" si="2"/>
        <v>#N/A</v>
      </c>
      <c r="BH122" s="385">
        <f t="shared" ca="1" si="10"/>
        <v>43613</v>
      </c>
      <c r="BI122" s="269">
        <v>387.01197279673067</v>
      </c>
      <c r="BJ122" s="385">
        <f t="shared" ca="1" si="9"/>
        <v>43613</v>
      </c>
      <c r="BL122" s="269">
        <f t="shared" ca="1" si="3"/>
        <v>0</v>
      </c>
      <c r="BM122" s="269">
        <f t="shared" ca="1" si="4"/>
        <v>0</v>
      </c>
      <c r="BN122" s="269">
        <f t="shared" ca="1" si="5"/>
        <v>0</v>
      </c>
      <c r="BO122" s="269">
        <f t="shared" ca="1" si="6"/>
        <v>0</v>
      </c>
    </row>
    <row r="123" spans="1:67">
      <c r="AG123" s="450"/>
      <c r="AU123" s="386">
        <v>0.6</v>
      </c>
      <c r="BA123" s="424" t="s">
        <v>244</v>
      </c>
      <c r="BB123" s="427"/>
      <c r="BC123" s="427">
        <f ca="1">DATE(YEAR(BC121)+RMAData!$L$5,MONTH(BC121),DAY(BC121))</f>
        <v>43593</v>
      </c>
      <c r="BD123" s="427"/>
      <c r="BE123" s="427">
        <f ca="1">DATE(YEAR(BE121)+RMAData!$L$5,MONTH(BE121),DAY(BE121))</f>
        <v>43593</v>
      </c>
      <c r="BG123" s="332" t="e">
        <f t="shared" ca="1" si="2"/>
        <v>#N/A</v>
      </c>
      <c r="BH123" s="385">
        <f t="shared" ca="1" si="10"/>
        <v>43614</v>
      </c>
      <c r="BI123" s="269">
        <v>384.66999997776003</v>
      </c>
      <c r="BJ123" s="385">
        <f t="shared" ca="1" si="9"/>
        <v>43614</v>
      </c>
      <c r="BL123" s="269">
        <f t="shared" ca="1" si="3"/>
        <v>0</v>
      </c>
      <c r="BM123" s="269">
        <f t="shared" ca="1" si="4"/>
        <v>0</v>
      </c>
      <c r="BN123" s="269">
        <f t="shared" ca="1" si="5"/>
        <v>0</v>
      </c>
      <c r="BO123" s="269">
        <f t="shared" ca="1" si="6"/>
        <v>0</v>
      </c>
    </row>
    <row r="124" spans="1:67">
      <c r="AG124" s="450"/>
      <c r="BA124" s="424" t="s">
        <v>245</v>
      </c>
      <c r="BB124" s="427"/>
      <c r="BC124" s="427">
        <f ca="1">DATE(YEAR(BC122)+RMAData!$L$5,MONTH(BC122),DAY(BC122))</f>
        <v>43656</v>
      </c>
      <c r="BD124" s="427"/>
      <c r="BE124" s="427">
        <f ca="1">DATE(YEAR(BE122)+RMAData!$L$5,MONTH(BE122),DAY(BE122))</f>
        <v>43656</v>
      </c>
      <c r="BG124" s="332" t="e">
        <f t="shared" ca="1" si="2"/>
        <v>#N/A</v>
      </c>
      <c r="BH124" s="385">
        <f t="shared" ca="1" si="10"/>
        <v>43615</v>
      </c>
      <c r="BI124" s="269">
        <v>382.22649657642467</v>
      </c>
      <c r="BJ124" s="385">
        <f t="shared" ca="1" si="9"/>
        <v>43615</v>
      </c>
      <c r="BL124" s="269">
        <f t="shared" ca="1" si="3"/>
        <v>0</v>
      </c>
      <c r="BM124" s="269">
        <f t="shared" ca="1" si="4"/>
        <v>0</v>
      </c>
      <c r="BN124" s="269">
        <f t="shared" ca="1" si="5"/>
        <v>0</v>
      </c>
      <c r="BO124" s="269">
        <f t="shared" ca="1" si="6"/>
        <v>0</v>
      </c>
    </row>
    <row r="125" spans="1:67">
      <c r="AG125" s="450"/>
      <c r="AO125" s="385"/>
      <c r="BG125" s="332" t="e">
        <f t="shared" ca="1" si="2"/>
        <v>#N/A</v>
      </c>
      <c r="BH125" s="385">
        <f t="shared" ca="1" si="10"/>
        <v>43616</v>
      </c>
      <c r="BI125" s="269">
        <v>379.68146255565807</v>
      </c>
      <c r="BJ125" s="385">
        <f t="shared" ca="1" si="9"/>
        <v>43616</v>
      </c>
      <c r="BL125" s="269">
        <f t="shared" ca="1" si="3"/>
        <v>0</v>
      </c>
      <c r="BM125" s="269">
        <f t="shared" ca="1" si="4"/>
        <v>0</v>
      </c>
      <c r="BN125" s="269">
        <f t="shared" ca="1" si="5"/>
        <v>0</v>
      </c>
      <c r="BO125" s="269">
        <f t="shared" ca="1" si="6"/>
        <v>0</v>
      </c>
    </row>
    <row r="126" spans="1:67">
      <c r="AG126" s="450"/>
      <c r="AO126" s="385"/>
      <c r="BG126" s="332" t="e">
        <f t="shared" ca="1" si="2"/>
        <v>#N/A</v>
      </c>
      <c r="BH126" s="385">
        <f t="shared" ca="1" si="10"/>
        <v>43617</v>
      </c>
      <c r="BI126" s="269">
        <v>377.03489793399348</v>
      </c>
      <c r="BJ126" s="385">
        <f t="shared" ca="1" si="9"/>
        <v>43617</v>
      </c>
      <c r="BL126" s="269">
        <f t="shared" ca="1" si="3"/>
        <v>0</v>
      </c>
      <c r="BM126" s="269">
        <f t="shared" ca="1" si="4"/>
        <v>0</v>
      </c>
      <c r="BN126" s="269">
        <f t="shared" ca="1" si="5"/>
        <v>0</v>
      </c>
      <c r="BO126" s="269">
        <f t="shared" ca="1" si="6"/>
        <v>0</v>
      </c>
    </row>
    <row r="127" spans="1:67">
      <c r="AG127" s="450"/>
      <c r="AO127" s="385"/>
      <c r="BG127" s="332" t="e">
        <f t="shared" ca="1" si="2"/>
        <v>#N/A</v>
      </c>
      <c r="BH127" s="385">
        <f t="shared" ca="1" si="10"/>
        <v>43618</v>
      </c>
      <c r="BI127" s="269">
        <v>374.28680271143094</v>
      </c>
      <c r="BJ127" s="385">
        <f t="shared" ca="1" si="9"/>
        <v>43618</v>
      </c>
      <c r="BL127" s="269">
        <f t="shared" ca="1" si="3"/>
        <v>0</v>
      </c>
      <c r="BM127" s="269">
        <f t="shared" ca="1" si="4"/>
        <v>0</v>
      </c>
      <c r="BN127" s="269">
        <f t="shared" ca="1" si="5"/>
        <v>0</v>
      </c>
      <c r="BO127" s="269">
        <f t="shared" ca="1" si="6"/>
        <v>0</v>
      </c>
    </row>
    <row r="128" spans="1:67">
      <c r="AG128" s="450"/>
      <c r="AO128" s="385"/>
      <c r="BG128" s="332" t="e">
        <f t="shared" ca="1" si="2"/>
        <v>#N/A</v>
      </c>
      <c r="BH128" s="385">
        <f t="shared" ca="1" si="10"/>
        <v>43619</v>
      </c>
      <c r="BI128" s="269">
        <v>371.43717685090377</v>
      </c>
      <c r="BJ128" s="385">
        <f t="shared" ca="1" si="9"/>
        <v>43619</v>
      </c>
      <c r="BL128" s="269">
        <f t="shared" ca="1" si="3"/>
        <v>0</v>
      </c>
      <c r="BM128" s="269">
        <f t="shared" ca="1" si="4"/>
        <v>0</v>
      </c>
      <c r="BN128" s="269">
        <f t="shared" ca="1" si="5"/>
        <v>0</v>
      </c>
      <c r="BO128" s="269">
        <f t="shared" ca="1" si="6"/>
        <v>0</v>
      </c>
    </row>
    <row r="129" spans="33:67">
      <c r="AG129" s="450"/>
      <c r="AO129" s="385"/>
      <c r="BG129" s="332" t="e">
        <f t="shared" ca="1" si="2"/>
        <v>#N/A</v>
      </c>
      <c r="BH129" s="385">
        <f t="shared" ca="1" si="10"/>
        <v>43620</v>
      </c>
      <c r="BI129" s="269">
        <v>368.48602038947865</v>
      </c>
      <c r="BJ129" s="385">
        <f t="shared" ca="1" si="9"/>
        <v>43620</v>
      </c>
      <c r="BL129" s="269">
        <f t="shared" ca="1" si="3"/>
        <v>0</v>
      </c>
      <c r="BM129" s="269">
        <f t="shared" ca="1" si="4"/>
        <v>0</v>
      </c>
      <c r="BN129" s="269">
        <f t="shared" ca="1" si="5"/>
        <v>0</v>
      </c>
      <c r="BO129" s="269">
        <f t="shared" ca="1" si="6"/>
        <v>0</v>
      </c>
    </row>
    <row r="130" spans="33:67">
      <c r="AG130" s="450"/>
      <c r="AO130" s="385"/>
      <c r="BG130" s="332" t="e">
        <f t="shared" ca="1" si="2"/>
        <v>#N/A</v>
      </c>
      <c r="BH130" s="385">
        <f t="shared" ca="1" si="10"/>
        <v>43621</v>
      </c>
      <c r="BI130" s="269">
        <v>365.43333332715554</v>
      </c>
      <c r="BJ130" s="385">
        <f t="shared" ca="1" si="9"/>
        <v>43621</v>
      </c>
      <c r="BL130" s="269">
        <f t="shared" ca="1" si="3"/>
        <v>0</v>
      </c>
      <c r="BM130" s="269">
        <f t="shared" ca="1" si="4"/>
        <v>0</v>
      </c>
      <c r="BN130" s="269">
        <f t="shared" ca="1" si="5"/>
        <v>0</v>
      </c>
      <c r="BO130" s="269">
        <f t="shared" ca="1" si="6"/>
        <v>0</v>
      </c>
    </row>
    <row r="131" spans="33:67">
      <c r="AG131" s="450"/>
      <c r="AO131" s="385"/>
      <c r="BG131" s="332" t="e">
        <f t="shared" ca="1" si="2"/>
        <v>#N/A</v>
      </c>
      <c r="BH131" s="385">
        <f t="shared" ca="1" si="10"/>
        <v>43622</v>
      </c>
      <c r="BI131" s="269">
        <v>362.27911564540119</v>
      </c>
      <c r="BJ131" s="385">
        <f t="shared" ca="1" si="9"/>
        <v>43622</v>
      </c>
      <c r="BL131" s="269">
        <f t="shared" ca="1" si="3"/>
        <v>0</v>
      </c>
      <c r="BM131" s="269">
        <f t="shared" ca="1" si="4"/>
        <v>0</v>
      </c>
      <c r="BN131" s="269">
        <f t="shared" ca="1" si="5"/>
        <v>0</v>
      </c>
      <c r="BO131" s="269">
        <f t="shared" ca="1" si="6"/>
        <v>0</v>
      </c>
    </row>
    <row r="132" spans="33:67">
      <c r="AG132" s="450"/>
      <c r="AO132" s="385"/>
      <c r="BG132" s="332" t="e">
        <f t="shared" ca="1" si="2"/>
        <v>#N/A</v>
      </c>
      <c r="BH132" s="385">
        <f t="shared" ca="1" si="10"/>
        <v>43623</v>
      </c>
      <c r="BI132" s="269">
        <v>359.0233673442155</v>
      </c>
      <c r="BJ132" s="385">
        <f t="shared" ca="1" si="9"/>
        <v>43623</v>
      </c>
      <c r="BL132" s="269">
        <f t="shared" ca="1" si="3"/>
        <v>0</v>
      </c>
      <c r="BM132" s="269">
        <f t="shared" ca="1" si="4"/>
        <v>0</v>
      </c>
      <c r="BN132" s="269">
        <f t="shared" ca="1" si="5"/>
        <v>0</v>
      </c>
      <c r="BO132" s="269">
        <f t="shared" ca="1" si="6"/>
        <v>0</v>
      </c>
    </row>
    <row r="133" spans="33:67">
      <c r="AG133" s="450"/>
      <c r="AO133" s="385"/>
      <c r="BG133" s="332" t="e">
        <f t="shared" ca="1" si="2"/>
        <v>#N/A</v>
      </c>
      <c r="BH133" s="385">
        <f t="shared" ca="1" si="10"/>
        <v>43624</v>
      </c>
      <c r="BI133" s="269">
        <v>355.66608844213187</v>
      </c>
      <c r="BJ133" s="385">
        <f t="shared" ca="1" si="9"/>
        <v>43624</v>
      </c>
      <c r="BL133" s="269">
        <f t="shared" ca="1" si="3"/>
        <v>0</v>
      </c>
      <c r="BM133" s="269">
        <f t="shared" ca="1" si="4"/>
        <v>0</v>
      </c>
      <c r="BN133" s="269">
        <f t="shared" ca="1" si="5"/>
        <v>0</v>
      </c>
      <c r="BO133" s="269">
        <f t="shared" ca="1" si="6"/>
        <v>0</v>
      </c>
    </row>
    <row r="134" spans="33:67">
      <c r="AG134" s="450"/>
      <c r="AO134" s="385"/>
      <c r="BG134" s="332" t="e">
        <f t="shared" ca="1" si="2"/>
        <v>#N/A</v>
      </c>
      <c r="BH134" s="385">
        <f t="shared" ca="1" si="10"/>
        <v>43625</v>
      </c>
      <c r="BI134" s="269">
        <v>352.20727892061694</v>
      </c>
      <c r="BJ134" s="385">
        <f t="shared" ca="1" si="9"/>
        <v>43625</v>
      </c>
      <c r="BL134" s="269">
        <f t="shared" ca="1" si="3"/>
        <v>0</v>
      </c>
      <c r="BM134" s="269">
        <f t="shared" ca="1" si="4"/>
        <v>0</v>
      </c>
      <c r="BN134" s="269">
        <f t="shared" ca="1" si="5"/>
        <v>0</v>
      </c>
      <c r="BO134" s="269">
        <f t="shared" ca="1" si="6"/>
        <v>0</v>
      </c>
    </row>
    <row r="135" spans="33:67">
      <c r="AG135" s="450"/>
      <c r="AO135" s="385"/>
      <c r="BG135" s="332" t="e">
        <f t="shared" ca="1" si="2"/>
        <v>#N/A</v>
      </c>
      <c r="BH135" s="385">
        <f t="shared" ca="1" si="10"/>
        <v>43626</v>
      </c>
      <c r="BI135" s="269">
        <v>348.64693874260411</v>
      </c>
      <c r="BJ135" s="385">
        <f t="shared" ca="1" si="9"/>
        <v>43626</v>
      </c>
      <c r="BL135" s="269">
        <f t="shared" ca="1" si="3"/>
        <v>0</v>
      </c>
      <c r="BM135" s="269">
        <f t="shared" ca="1" si="4"/>
        <v>0</v>
      </c>
      <c r="BN135" s="269">
        <f t="shared" ca="1" si="5"/>
        <v>0</v>
      </c>
      <c r="BO135" s="269">
        <f t="shared" ca="1" si="6"/>
        <v>0</v>
      </c>
    </row>
    <row r="136" spans="33:67">
      <c r="AG136" s="450"/>
      <c r="AO136" s="385"/>
      <c r="BG136" s="332" t="e">
        <f t="shared" ca="1" si="2"/>
        <v>#N/A</v>
      </c>
      <c r="BH136" s="385">
        <f t="shared" ca="1" si="10"/>
        <v>43627</v>
      </c>
      <c r="BI136" s="269">
        <v>344.98506800075995</v>
      </c>
      <c r="BJ136" s="385">
        <f t="shared" ca="1" si="9"/>
        <v>43627</v>
      </c>
      <c r="BL136" s="269">
        <f t="shared" ca="1" si="3"/>
        <v>0</v>
      </c>
      <c r="BM136" s="269">
        <f t="shared" ca="1" si="4"/>
        <v>0</v>
      </c>
      <c r="BN136" s="269">
        <f t="shared" ca="1" si="5"/>
        <v>0</v>
      </c>
      <c r="BO136" s="269">
        <f t="shared" ca="1" si="6"/>
        <v>0</v>
      </c>
    </row>
    <row r="137" spans="33:67">
      <c r="AG137" s="450"/>
      <c r="AO137" s="385"/>
      <c r="BG137" s="332" t="e">
        <f t="shared" ca="1" si="2"/>
        <v>#N/A</v>
      </c>
      <c r="BH137" s="385">
        <f t="shared" ca="1" si="10"/>
        <v>43628</v>
      </c>
      <c r="BI137" s="269">
        <v>341.22166663948445</v>
      </c>
      <c r="BJ137" s="385">
        <f t="shared" ca="1" si="9"/>
        <v>43628</v>
      </c>
      <c r="BL137" s="269">
        <f t="shared" ca="1" si="3"/>
        <v>0</v>
      </c>
      <c r="BM137" s="269">
        <f t="shared" ca="1" si="4"/>
        <v>0</v>
      </c>
      <c r="BN137" s="269">
        <f t="shared" ca="1" si="5"/>
        <v>0</v>
      </c>
      <c r="BO137" s="269">
        <f t="shared" ca="1" si="6"/>
        <v>0</v>
      </c>
    </row>
    <row r="138" spans="33:67">
      <c r="AG138" s="450"/>
      <c r="AO138" s="385"/>
      <c r="BG138" s="332" t="e">
        <f t="shared" ca="1" si="2"/>
        <v>#N/A</v>
      </c>
      <c r="BH138" s="385">
        <f t="shared" ca="1" si="10"/>
        <v>43629</v>
      </c>
      <c r="BI138" s="269">
        <v>337.35673467731101</v>
      </c>
      <c r="BJ138" s="385">
        <f t="shared" ca="1" si="9"/>
        <v>43629</v>
      </c>
      <c r="BL138" s="269">
        <f t="shared" ca="1" si="3"/>
        <v>0</v>
      </c>
      <c r="BM138" s="269">
        <f t="shared" ca="1" si="4"/>
        <v>0</v>
      </c>
      <c r="BN138" s="269">
        <f t="shared" ca="1" si="5"/>
        <v>0</v>
      </c>
      <c r="BO138" s="269">
        <f t="shared" ca="1" si="6"/>
        <v>0</v>
      </c>
    </row>
    <row r="139" spans="33:67">
      <c r="AG139" s="450"/>
      <c r="AO139" s="385"/>
      <c r="BG139" s="332" t="e">
        <f t="shared" ca="1" si="2"/>
        <v>#N/A</v>
      </c>
      <c r="BH139" s="385">
        <f t="shared" ca="1" si="10"/>
        <v>43630</v>
      </c>
      <c r="BI139" s="269">
        <v>333.39027209570634</v>
      </c>
      <c r="BJ139" s="385">
        <f t="shared" ca="1" si="9"/>
        <v>43630</v>
      </c>
      <c r="BL139" s="269">
        <f t="shared" ca="1" si="3"/>
        <v>0</v>
      </c>
      <c r="BM139" s="269">
        <f t="shared" ca="1" si="4"/>
        <v>0</v>
      </c>
      <c r="BN139" s="269">
        <f t="shared" ca="1" si="5"/>
        <v>0</v>
      </c>
      <c r="BO139" s="269">
        <f t="shared" ca="1" si="6"/>
        <v>0</v>
      </c>
    </row>
    <row r="140" spans="33:67">
      <c r="AG140" s="450"/>
      <c r="AO140" s="385"/>
      <c r="BG140" s="332" t="e">
        <f t="shared" ca="1" si="2"/>
        <v>#N/A</v>
      </c>
      <c r="BH140" s="385">
        <f t="shared" ca="1" si="10"/>
        <v>43631</v>
      </c>
      <c r="BI140" s="269">
        <v>329.32227889467032</v>
      </c>
      <c r="BJ140" s="385">
        <f t="shared" ca="1" si="9"/>
        <v>43631</v>
      </c>
      <c r="BL140" s="269">
        <f t="shared" ca="1" si="3"/>
        <v>0</v>
      </c>
      <c r="BM140" s="269">
        <f t="shared" ca="1" si="4"/>
        <v>0</v>
      </c>
      <c r="BN140" s="269">
        <f t="shared" ca="1" si="5"/>
        <v>0</v>
      </c>
      <c r="BO140" s="269">
        <f t="shared" ca="1" si="6"/>
        <v>0</v>
      </c>
    </row>
    <row r="141" spans="33:67">
      <c r="AG141" s="450"/>
      <c r="AO141" s="385"/>
      <c r="BG141" s="332" t="e">
        <f t="shared" ca="1" si="2"/>
        <v>#N/A</v>
      </c>
      <c r="BH141" s="385">
        <f t="shared" ca="1" si="10"/>
        <v>43632</v>
      </c>
      <c r="BI141" s="269">
        <v>325.15275509273636</v>
      </c>
      <c r="BJ141" s="385">
        <f t="shared" ca="1" si="9"/>
        <v>43632</v>
      </c>
      <c r="BL141" s="269">
        <f t="shared" ca="1" si="3"/>
        <v>0</v>
      </c>
      <c r="BM141" s="269">
        <f t="shared" ca="1" si="4"/>
        <v>0</v>
      </c>
      <c r="BN141" s="269">
        <f t="shared" ca="1" si="5"/>
        <v>0</v>
      </c>
      <c r="BO141" s="269">
        <f t="shared" ca="1" si="6"/>
        <v>0</v>
      </c>
    </row>
    <row r="142" spans="33:67">
      <c r="AG142" s="450"/>
      <c r="AO142" s="385"/>
      <c r="BG142" s="332" t="e">
        <f t="shared" ca="1" si="2"/>
        <v>#N/A</v>
      </c>
      <c r="BH142" s="385">
        <f t="shared" ca="1" si="10"/>
        <v>43633</v>
      </c>
      <c r="BI142" s="269">
        <v>320.88170067137105</v>
      </c>
      <c r="BJ142" s="385">
        <f t="shared" ca="1" si="9"/>
        <v>43633</v>
      </c>
      <c r="BL142" s="269">
        <f t="shared" ca="1" si="3"/>
        <v>0</v>
      </c>
      <c r="BM142" s="269">
        <f t="shared" ca="1" si="4"/>
        <v>0</v>
      </c>
      <c r="BN142" s="269">
        <f t="shared" ca="1" si="5"/>
        <v>0</v>
      </c>
      <c r="BO142" s="269">
        <f t="shared" ca="1" si="6"/>
        <v>0</v>
      </c>
    </row>
    <row r="143" spans="33:67">
      <c r="AG143" s="450"/>
      <c r="AO143" s="385"/>
      <c r="BG143" s="332" t="e">
        <f t="shared" ca="1" si="2"/>
        <v>#N/A</v>
      </c>
      <c r="BH143" s="385">
        <f t="shared" ca="1" si="10"/>
        <v>43634</v>
      </c>
      <c r="BI143" s="269">
        <v>316.50911564910786</v>
      </c>
      <c r="BJ143" s="385">
        <f t="shared" ca="1" si="9"/>
        <v>43634</v>
      </c>
      <c r="BL143" s="269">
        <f t="shared" ca="1" si="3"/>
        <v>0</v>
      </c>
      <c r="BM143" s="269">
        <f t="shared" ca="1" si="4"/>
        <v>0</v>
      </c>
      <c r="BN143" s="269">
        <f t="shared" ca="1" si="5"/>
        <v>0</v>
      </c>
      <c r="BO143" s="269">
        <f t="shared" ca="1" si="6"/>
        <v>0</v>
      </c>
    </row>
    <row r="144" spans="33:67">
      <c r="AG144" s="450"/>
      <c r="AO144" s="385"/>
      <c r="BG144" s="332" t="e">
        <f t="shared" ca="1" si="2"/>
        <v>#N/A</v>
      </c>
      <c r="BH144" s="385">
        <f t="shared" ca="1" si="10"/>
        <v>43635</v>
      </c>
      <c r="BI144" s="269">
        <v>312.03500000741332</v>
      </c>
      <c r="BJ144" s="385">
        <f t="shared" ca="1" si="9"/>
        <v>43635</v>
      </c>
      <c r="BL144" s="269">
        <f t="shared" ca="1" si="3"/>
        <v>0</v>
      </c>
      <c r="BM144" s="269">
        <f t="shared" ca="1" si="4"/>
        <v>0</v>
      </c>
      <c r="BN144" s="269">
        <f t="shared" ca="1" si="5"/>
        <v>0</v>
      </c>
      <c r="BO144" s="269">
        <f t="shared" ca="1" si="6"/>
        <v>0</v>
      </c>
    </row>
    <row r="145" spans="33:67">
      <c r="AG145" s="450"/>
      <c r="AO145" s="385"/>
      <c r="BG145" s="332" t="e">
        <f t="shared" ca="1" si="2"/>
        <v>#N/A</v>
      </c>
      <c r="BH145" s="385">
        <f t="shared" ca="1" si="10"/>
        <v>43636</v>
      </c>
      <c r="BI145" s="269">
        <v>307.45935374628755</v>
      </c>
      <c r="BJ145" s="385">
        <f t="shared" ca="1" si="9"/>
        <v>43636</v>
      </c>
      <c r="BL145" s="269">
        <f t="shared" ca="1" si="3"/>
        <v>0</v>
      </c>
      <c r="BM145" s="269">
        <f t="shared" ca="1" si="4"/>
        <v>0</v>
      </c>
      <c r="BN145" s="269">
        <f t="shared" ca="1" si="5"/>
        <v>0</v>
      </c>
      <c r="BO145" s="269">
        <f t="shared" ca="1" si="6"/>
        <v>1000</v>
      </c>
    </row>
    <row r="146" spans="33:67">
      <c r="AG146" s="450"/>
      <c r="AO146" s="385"/>
      <c r="BG146" s="332" t="e">
        <f t="shared" ca="1" si="2"/>
        <v>#N/A</v>
      </c>
      <c r="BH146" s="385">
        <f t="shared" ca="1" si="10"/>
        <v>43637</v>
      </c>
      <c r="BI146" s="269">
        <v>302.78217688426378</v>
      </c>
      <c r="BJ146" s="385">
        <f t="shared" ca="1" si="9"/>
        <v>43637</v>
      </c>
      <c r="BL146" s="269">
        <f t="shared" ca="1" si="3"/>
        <v>0</v>
      </c>
      <c r="BM146" s="269">
        <f t="shared" ca="1" si="4"/>
        <v>0</v>
      </c>
      <c r="BN146" s="269">
        <f t="shared" ca="1" si="5"/>
        <v>0</v>
      </c>
      <c r="BO146" s="269">
        <f t="shared" ca="1" si="6"/>
        <v>1000</v>
      </c>
    </row>
    <row r="147" spans="33:67">
      <c r="AG147" s="450"/>
      <c r="AO147" s="385"/>
      <c r="BG147" s="332" t="e">
        <f t="shared" ca="1" si="2"/>
        <v>#N/A</v>
      </c>
      <c r="BH147" s="385">
        <f t="shared" ca="1" si="10"/>
        <v>43638</v>
      </c>
      <c r="BI147" s="269">
        <v>298.00346936574203</v>
      </c>
      <c r="BJ147" s="385">
        <f t="shared" ca="1" si="9"/>
        <v>43638</v>
      </c>
      <c r="BL147" s="269">
        <f t="shared" ca="1" si="3"/>
        <v>0</v>
      </c>
      <c r="BM147" s="269">
        <f t="shared" ca="1" si="4"/>
        <v>0</v>
      </c>
      <c r="BN147" s="269">
        <f t="shared" ca="1" si="5"/>
        <v>0</v>
      </c>
      <c r="BO147" s="269">
        <f t="shared" ca="1" si="6"/>
        <v>1000</v>
      </c>
    </row>
    <row r="148" spans="33:67">
      <c r="AG148" s="450"/>
      <c r="AO148" s="385"/>
      <c r="BG148" s="332" t="e">
        <f t="shared" ref="BG148:BG211" ca="1" si="11">IF(BH148&lt;$BC$95+$BC$96,NA(),$Z$50)</f>
        <v>#N/A</v>
      </c>
      <c r="BH148" s="385">
        <f t="shared" ca="1" si="10"/>
        <v>43639</v>
      </c>
      <c r="BI148" s="269">
        <v>293.12323126485569</v>
      </c>
      <c r="BJ148" s="385">
        <f t="shared" ca="1" si="9"/>
        <v>43639</v>
      </c>
      <c r="BL148" s="269">
        <f t="shared" ref="BL148:BL211" ca="1" si="12">IF(AND(BH148&gt;=$BB$95,BH148&lt;=$BB$95+$BB$96),1000,0)</f>
        <v>0</v>
      </c>
      <c r="BM148" s="269">
        <f t="shared" ref="BM148:BM211" ca="1" si="13">IF(BH148=$BB$97,1000,0)</f>
        <v>0</v>
      </c>
      <c r="BN148" s="269">
        <f t="shared" ref="BN148:BN211" ca="1" si="14">IF(BH148=$BC$97,1000,0)</f>
        <v>0</v>
      </c>
      <c r="BO148" s="269">
        <f t="shared" ref="BO148:BO211" ca="1" si="15">IF(AND(BH148&gt;=$BC$95,BH148&lt;=$BC$95+$BC$96),1000,0)</f>
        <v>1000</v>
      </c>
    </row>
    <row r="149" spans="33:67">
      <c r="AG149" s="450"/>
      <c r="AO149" s="385"/>
      <c r="BG149" s="332" t="e">
        <f t="shared" ca="1" si="11"/>
        <v>#N/A</v>
      </c>
      <c r="BH149" s="385">
        <f t="shared" ca="1" si="10"/>
        <v>43640</v>
      </c>
      <c r="BI149" s="269">
        <v>288.1414625630714</v>
      </c>
      <c r="BJ149" s="385">
        <f t="shared" ca="1" si="9"/>
        <v>43640</v>
      </c>
      <c r="BL149" s="269">
        <f t="shared" ca="1" si="12"/>
        <v>0</v>
      </c>
      <c r="BM149" s="269">
        <f t="shared" ca="1" si="13"/>
        <v>0</v>
      </c>
      <c r="BN149" s="269">
        <f t="shared" ca="1" si="14"/>
        <v>0</v>
      </c>
      <c r="BO149" s="269">
        <f t="shared" ca="1" si="15"/>
        <v>1000</v>
      </c>
    </row>
    <row r="150" spans="33:67">
      <c r="AG150" s="450"/>
      <c r="AO150" s="385"/>
      <c r="BG150" s="332" t="e">
        <f t="shared" ca="1" si="11"/>
        <v>#N/A</v>
      </c>
      <c r="BH150" s="385">
        <f t="shared" ca="1" si="10"/>
        <v>43641</v>
      </c>
      <c r="BI150" s="269">
        <v>283.05816324185582</v>
      </c>
      <c r="BJ150" s="385">
        <f t="shared" ca="1" si="9"/>
        <v>43641</v>
      </c>
      <c r="BL150" s="269">
        <f t="shared" ca="1" si="12"/>
        <v>0</v>
      </c>
      <c r="BM150" s="269">
        <f t="shared" ca="1" si="13"/>
        <v>0</v>
      </c>
      <c r="BN150" s="269">
        <f t="shared" ca="1" si="14"/>
        <v>0</v>
      </c>
      <c r="BO150" s="269">
        <f t="shared" ca="1" si="15"/>
        <v>1000</v>
      </c>
    </row>
    <row r="151" spans="33:67">
      <c r="AG151" s="450"/>
      <c r="AO151" s="385"/>
      <c r="BG151" s="332" t="e">
        <f t="shared" ca="1" si="11"/>
        <v>#N/A</v>
      </c>
      <c r="BH151" s="385">
        <f t="shared" ca="1" si="10"/>
        <v>43642</v>
      </c>
      <c r="BI151" s="269">
        <v>277.87333331974224</v>
      </c>
      <c r="BJ151" s="385">
        <f t="shared" ca="1" si="9"/>
        <v>43642</v>
      </c>
      <c r="BL151" s="269">
        <f t="shared" ca="1" si="12"/>
        <v>0</v>
      </c>
      <c r="BM151" s="269">
        <f t="shared" ca="1" si="13"/>
        <v>0</v>
      </c>
      <c r="BN151" s="269">
        <f t="shared" ca="1" si="14"/>
        <v>0</v>
      </c>
      <c r="BO151" s="269">
        <f t="shared" ca="1" si="15"/>
        <v>1000</v>
      </c>
    </row>
    <row r="152" spans="33:67">
      <c r="AG152" s="450"/>
      <c r="AO152" s="385"/>
      <c r="BG152" s="332" t="e">
        <f t="shared" ca="1" si="11"/>
        <v>#N/A</v>
      </c>
      <c r="BH152" s="385">
        <f t="shared" ca="1" si="10"/>
        <v>43643</v>
      </c>
      <c r="BI152" s="269">
        <v>272.58697277819738</v>
      </c>
      <c r="BJ152" s="385">
        <f t="shared" ca="1" si="9"/>
        <v>43643</v>
      </c>
      <c r="BL152" s="269">
        <f t="shared" ca="1" si="12"/>
        <v>0</v>
      </c>
      <c r="BM152" s="269">
        <f t="shared" ca="1" si="13"/>
        <v>0</v>
      </c>
      <c r="BN152" s="269">
        <f t="shared" ca="1" si="14"/>
        <v>0</v>
      </c>
      <c r="BO152" s="269">
        <f t="shared" ca="1" si="15"/>
        <v>1000</v>
      </c>
    </row>
    <row r="153" spans="33:67">
      <c r="AG153" s="450"/>
      <c r="AO153" s="385"/>
      <c r="BG153" s="332" t="e">
        <f t="shared" ca="1" si="11"/>
        <v>#N/A</v>
      </c>
      <c r="BH153" s="385">
        <f t="shared" ca="1" si="10"/>
        <v>43644</v>
      </c>
      <c r="BI153" s="269">
        <v>267.19908161722122</v>
      </c>
      <c r="BJ153" s="385">
        <f t="shared" ca="1" si="9"/>
        <v>43644</v>
      </c>
      <c r="BL153" s="269">
        <f t="shared" ca="1" si="12"/>
        <v>0</v>
      </c>
      <c r="BM153" s="269">
        <f t="shared" ca="1" si="13"/>
        <v>0</v>
      </c>
      <c r="BN153" s="269">
        <f t="shared" ca="1" si="14"/>
        <v>0</v>
      </c>
      <c r="BO153" s="269">
        <f t="shared" ca="1" si="15"/>
        <v>1000</v>
      </c>
    </row>
    <row r="154" spans="33:67">
      <c r="AG154" s="450"/>
      <c r="AO154" s="385"/>
      <c r="BG154" s="332" t="e">
        <f t="shared" ca="1" si="11"/>
        <v>#N/A</v>
      </c>
      <c r="BH154" s="385">
        <f t="shared" ca="1" si="10"/>
        <v>43645</v>
      </c>
      <c r="BI154" s="269">
        <v>261.70965985534713</v>
      </c>
      <c r="BJ154" s="385">
        <f t="shared" ca="1" si="9"/>
        <v>43645</v>
      </c>
      <c r="BL154" s="269">
        <f t="shared" ca="1" si="12"/>
        <v>0</v>
      </c>
      <c r="BM154" s="269">
        <f t="shared" ca="1" si="13"/>
        <v>0</v>
      </c>
      <c r="BN154" s="269">
        <f t="shared" ca="1" si="14"/>
        <v>0</v>
      </c>
      <c r="BO154" s="269">
        <f t="shared" ca="1" si="15"/>
        <v>1000</v>
      </c>
    </row>
    <row r="155" spans="33:67">
      <c r="AG155" s="450"/>
      <c r="AO155" s="385"/>
      <c r="BG155" s="332" t="e">
        <f t="shared" ca="1" si="11"/>
        <v>#N/A</v>
      </c>
      <c r="BH155" s="385">
        <f t="shared" ca="1" si="10"/>
        <v>43646</v>
      </c>
      <c r="BI155" s="269">
        <v>256.11870747404174</v>
      </c>
      <c r="BJ155" s="385">
        <f t="shared" ca="1" si="9"/>
        <v>43646</v>
      </c>
      <c r="BL155" s="269">
        <f t="shared" ca="1" si="12"/>
        <v>0</v>
      </c>
      <c r="BM155" s="269">
        <f t="shared" ca="1" si="13"/>
        <v>0</v>
      </c>
      <c r="BN155" s="269">
        <f t="shared" ca="1" si="14"/>
        <v>0</v>
      </c>
      <c r="BO155" s="269">
        <f t="shared" ca="1" si="15"/>
        <v>1000</v>
      </c>
    </row>
    <row r="156" spans="33:67">
      <c r="AG156" s="450"/>
      <c r="AO156" s="385"/>
      <c r="BG156" s="332" t="e">
        <f t="shared" ca="1" si="11"/>
        <v>#N/A</v>
      </c>
      <c r="BH156" s="385">
        <f t="shared" ca="1" si="10"/>
        <v>43647</v>
      </c>
      <c r="BI156" s="269">
        <v>250.42622449183835</v>
      </c>
      <c r="BJ156" s="385">
        <f t="shared" ca="1" si="9"/>
        <v>43647</v>
      </c>
      <c r="BL156" s="269">
        <f t="shared" ca="1" si="12"/>
        <v>0</v>
      </c>
      <c r="BM156" s="269">
        <f t="shared" ca="1" si="13"/>
        <v>0</v>
      </c>
      <c r="BN156" s="269">
        <f t="shared" ca="1" si="14"/>
        <v>0</v>
      </c>
      <c r="BO156" s="269">
        <f t="shared" ca="1" si="15"/>
        <v>1000</v>
      </c>
    </row>
    <row r="157" spans="33:67">
      <c r="AG157" s="450"/>
      <c r="AO157" s="385"/>
      <c r="BG157" s="332" t="e">
        <f t="shared" ca="1" si="11"/>
        <v>#N/A</v>
      </c>
      <c r="BH157" s="385">
        <f t="shared" ca="1" si="10"/>
        <v>43648</v>
      </c>
      <c r="BI157" s="269">
        <v>244.63221089020371</v>
      </c>
      <c r="BJ157" s="385">
        <f t="shared" ca="1" si="9"/>
        <v>43648</v>
      </c>
      <c r="BL157" s="269">
        <f t="shared" ca="1" si="12"/>
        <v>0</v>
      </c>
      <c r="BM157" s="269">
        <f t="shared" ca="1" si="13"/>
        <v>0</v>
      </c>
      <c r="BN157" s="269">
        <f t="shared" ca="1" si="14"/>
        <v>0</v>
      </c>
      <c r="BO157" s="269">
        <f t="shared" ca="1" si="15"/>
        <v>1000</v>
      </c>
    </row>
    <row r="158" spans="33:67">
      <c r="AG158" s="450"/>
      <c r="AO158" s="385"/>
      <c r="BG158" s="332" t="e">
        <f t="shared" ca="1" si="11"/>
        <v>#N/A</v>
      </c>
      <c r="BH158" s="385">
        <f t="shared" ca="1" si="10"/>
        <v>43649</v>
      </c>
      <c r="BI158" s="269">
        <v>238.73666663207115</v>
      </c>
      <c r="BJ158" s="385">
        <f t="shared" ca="1" si="9"/>
        <v>43649</v>
      </c>
      <c r="BL158" s="269">
        <f t="shared" ca="1" si="12"/>
        <v>0</v>
      </c>
      <c r="BM158" s="269">
        <f t="shared" ca="1" si="13"/>
        <v>0</v>
      </c>
      <c r="BN158" s="269">
        <f t="shared" ca="1" si="14"/>
        <v>0</v>
      </c>
      <c r="BO158" s="269">
        <f t="shared" ca="1" si="15"/>
        <v>1000</v>
      </c>
    </row>
    <row r="159" spans="33:67">
      <c r="AG159" s="450"/>
      <c r="AO159" s="385"/>
      <c r="BG159" s="332" t="e">
        <f t="shared" ca="1" si="11"/>
        <v>#N/A</v>
      </c>
      <c r="BH159" s="385">
        <f t="shared" ca="1" si="10"/>
        <v>43650</v>
      </c>
      <c r="BI159" s="269">
        <v>232.73959181010724</v>
      </c>
      <c r="BJ159" s="385">
        <f t="shared" ca="1" si="9"/>
        <v>43650</v>
      </c>
      <c r="BL159" s="269">
        <f t="shared" ca="1" si="12"/>
        <v>0</v>
      </c>
      <c r="BM159" s="269">
        <f t="shared" ca="1" si="13"/>
        <v>0</v>
      </c>
      <c r="BN159" s="269">
        <f t="shared" ca="1" si="14"/>
        <v>0</v>
      </c>
      <c r="BO159" s="269">
        <f t="shared" ca="1" si="15"/>
        <v>1000</v>
      </c>
    </row>
    <row r="160" spans="33:67">
      <c r="AG160" s="450"/>
      <c r="AO160" s="385"/>
      <c r="BG160" s="332" t="e">
        <f t="shared" ca="1" si="11"/>
        <v>#N/A</v>
      </c>
      <c r="BH160" s="385">
        <f t="shared" ca="1" si="10"/>
        <v>43651</v>
      </c>
      <c r="BI160" s="269">
        <v>226.64098636871199</v>
      </c>
      <c r="BJ160" s="385">
        <f t="shared" ca="1" si="9"/>
        <v>43651</v>
      </c>
      <c r="BL160" s="269">
        <f t="shared" ca="1" si="12"/>
        <v>0</v>
      </c>
      <c r="BM160" s="269">
        <f t="shared" ca="1" si="13"/>
        <v>0</v>
      </c>
      <c r="BN160" s="269">
        <f t="shared" ca="1" si="14"/>
        <v>0</v>
      </c>
      <c r="BO160" s="269">
        <f t="shared" ca="1" si="15"/>
        <v>1000</v>
      </c>
    </row>
    <row r="161" spans="33:67">
      <c r="AG161" s="450"/>
      <c r="AO161" s="385"/>
      <c r="BG161" s="332" t="e">
        <f t="shared" ca="1" si="11"/>
        <v>#N/A</v>
      </c>
      <c r="BH161" s="385">
        <f t="shared" ca="1" si="10"/>
        <v>43652</v>
      </c>
      <c r="BI161" s="269">
        <v>220.44085032641888</v>
      </c>
      <c r="BJ161" s="385">
        <f t="shared" ca="1" si="9"/>
        <v>43652</v>
      </c>
      <c r="BL161" s="269">
        <f t="shared" ca="1" si="12"/>
        <v>0</v>
      </c>
      <c r="BM161" s="269">
        <f t="shared" ca="1" si="13"/>
        <v>0</v>
      </c>
      <c r="BN161" s="269">
        <f t="shared" ca="1" si="14"/>
        <v>0</v>
      </c>
      <c r="BO161" s="269">
        <f t="shared" ca="1" si="15"/>
        <v>1000</v>
      </c>
    </row>
    <row r="162" spans="33:67">
      <c r="AG162" s="450"/>
      <c r="AO162" s="385"/>
      <c r="BG162" s="332" t="e">
        <f t="shared" ca="1" si="11"/>
        <v>#N/A</v>
      </c>
      <c r="BH162" s="385">
        <f t="shared" ca="1" si="10"/>
        <v>43653</v>
      </c>
      <c r="BI162" s="269">
        <v>214.13918364616111</v>
      </c>
      <c r="BJ162" s="385">
        <f t="shared" ca="1" si="9"/>
        <v>43653</v>
      </c>
      <c r="BL162" s="269">
        <f t="shared" ca="1" si="12"/>
        <v>0</v>
      </c>
      <c r="BM162" s="269">
        <f t="shared" ca="1" si="13"/>
        <v>0</v>
      </c>
      <c r="BN162" s="269">
        <f t="shared" ca="1" si="14"/>
        <v>0</v>
      </c>
      <c r="BO162" s="269">
        <f t="shared" ca="1" si="15"/>
        <v>1000</v>
      </c>
    </row>
    <row r="163" spans="33:67">
      <c r="AG163" s="450"/>
      <c r="AO163" s="385"/>
      <c r="BG163" s="332" t="e">
        <f t="shared" ca="1" si="11"/>
        <v>#N/A</v>
      </c>
      <c r="BH163" s="385">
        <f t="shared" ca="1" si="10"/>
        <v>43654</v>
      </c>
      <c r="BI163" s="269">
        <v>209.56525170022624</v>
      </c>
      <c r="BJ163" s="385">
        <f t="shared" ca="1" si="9"/>
        <v>43654</v>
      </c>
      <c r="BL163" s="269">
        <f t="shared" ca="1" si="12"/>
        <v>0</v>
      </c>
      <c r="BM163" s="269">
        <f t="shared" ca="1" si="13"/>
        <v>0</v>
      </c>
      <c r="BN163" s="269">
        <f t="shared" ca="1" si="14"/>
        <v>0</v>
      </c>
      <c r="BO163" s="269">
        <f t="shared" ca="1" si="15"/>
        <v>1000</v>
      </c>
    </row>
    <row r="164" spans="33:67">
      <c r="AG164" s="450"/>
      <c r="AO164" s="385"/>
      <c r="BG164" s="332" t="e">
        <f t="shared" ca="1" si="11"/>
        <v>#N/A</v>
      </c>
      <c r="BH164" s="385">
        <f t="shared" ca="1" si="10"/>
        <v>43655</v>
      </c>
      <c r="BI164" s="269">
        <v>205.92221768623222</v>
      </c>
      <c r="BJ164" s="385">
        <f t="shared" ca="1" si="9"/>
        <v>43655</v>
      </c>
      <c r="BL164" s="269">
        <f t="shared" ca="1" si="12"/>
        <v>0</v>
      </c>
      <c r="BM164" s="269">
        <f t="shared" ca="1" si="13"/>
        <v>0</v>
      </c>
      <c r="BN164" s="269">
        <f t="shared" ca="1" si="14"/>
        <v>0</v>
      </c>
      <c r="BO164" s="269">
        <f t="shared" ca="1" si="15"/>
        <v>1000</v>
      </c>
    </row>
    <row r="165" spans="33:67">
      <c r="AG165" s="450"/>
      <c r="AO165" s="385"/>
      <c r="BG165" s="332" t="e">
        <f t="shared" ca="1" si="11"/>
        <v>#N/A</v>
      </c>
      <c r="BH165" s="385">
        <f t="shared" ca="1" si="10"/>
        <v>43656</v>
      </c>
      <c r="BI165" s="269">
        <v>202.27500000000009</v>
      </c>
      <c r="BJ165" s="385">
        <f t="shared" ca="1" si="9"/>
        <v>43656</v>
      </c>
      <c r="BL165" s="269">
        <f t="shared" ca="1" si="12"/>
        <v>0</v>
      </c>
      <c r="BM165" s="269">
        <f t="shared" ca="1" si="13"/>
        <v>0</v>
      </c>
      <c r="BN165" s="269">
        <f t="shared" ca="1" si="14"/>
        <v>0</v>
      </c>
      <c r="BO165" s="269">
        <f t="shared" ca="1" si="15"/>
        <v>1000</v>
      </c>
    </row>
    <row r="166" spans="33:67">
      <c r="AG166" s="450"/>
      <c r="AO166" s="385"/>
      <c r="BG166" s="332" t="e">
        <f t="shared" ca="1" si="11"/>
        <v>#N/A</v>
      </c>
      <c r="BH166" s="385">
        <f t="shared" ca="1" si="10"/>
        <v>43657</v>
      </c>
      <c r="BI166" s="269">
        <v>198.62359863923865</v>
      </c>
      <c r="BJ166" s="385">
        <f t="shared" ca="1" si="9"/>
        <v>43657</v>
      </c>
      <c r="BL166" s="269">
        <f t="shared" ca="1" si="12"/>
        <v>0</v>
      </c>
      <c r="BM166" s="269">
        <f t="shared" ca="1" si="13"/>
        <v>0</v>
      </c>
      <c r="BN166" s="269">
        <f t="shared" ca="1" si="14"/>
        <v>0</v>
      </c>
      <c r="BO166" s="269">
        <f t="shared" ca="1" si="15"/>
        <v>1000</v>
      </c>
    </row>
    <row r="167" spans="33:67">
      <c r="AG167" s="450"/>
      <c r="AO167" s="385"/>
      <c r="BG167" s="332" t="e">
        <f t="shared" ca="1" si="11"/>
        <v>#N/A</v>
      </c>
      <c r="BH167" s="385">
        <f t="shared" ca="1" si="10"/>
        <v>43658</v>
      </c>
      <c r="BI167" s="269">
        <v>194.96801360547545</v>
      </c>
      <c r="BJ167" s="385">
        <f t="shared" ca="1" si="9"/>
        <v>43658</v>
      </c>
      <c r="BL167" s="269">
        <f t="shared" ca="1" si="12"/>
        <v>0</v>
      </c>
      <c r="BM167" s="269">
        <f t="shared" ca="1" si="13"/>
        <v>0</v>
      </c>
      <c r="BN167" s="269">
        <f t="shared" ca="1" si="14"/>
        <v>0</v>
      </c>
      <c r="BO167" s="269">
        <f t="shared" ca="1" si="15"/>
        <v>1000</v>
      </c>
    </row>
    <row r="168" spans="33:67">
      <c r="AG168" s="450"/>
      <c r="AO168" s="385"/>
      <c r="BG168" s="332" t="e">
        <f t="shared" ca="1" si="11"/>
        <v>#N/A</v>
      </c>
      <c r="BH168" s="385">
        <f t="shared" ca="1" si="10"/>
        <v>43659</v>
      </c>
      <c r="BI168" s="269">
        <v>191.30824489794674</v>
      </c>
      <c r="BJ168" s="385">
        <f t="shared" ca="1" si="9"/>
        <v>43659</v>
      </c>
      <c r="BL168" s="269">
        <f t="shared" ca="1" si="12"/>
        <v>0</v>
      </c>
      <c r="BM168" s="269">
        <f t="shared" ca="1" si="13"/>
        <v>0</v>
      </c>
      <c r="BN168" s="269">
        <f t="shared" ca="1" si="14"/>
        <v>0</v>
      </c>
      <c r="BO168" s="269">
        <f t="shared" ca="1" si="15"/>
        <v>1000</v>
      </c>
    </row>
    <row r="169" spans="33:67">
      <c r="AG169" s="450"/>
      <c r="AO169" s="385"/>
      <c r="BG169" s="332" t="e">
        <f t="shared" ca="1" si="11"/>
        <v>#N/A</v>
      </c>
      <c r="BH169" s="385">
        <f t="shared" ca="1" si="10"/>
        <v>43660</v>
      </c>
      <c r="BI169" s="269">
        <v>187.6442925174162</v>
      </c>
      <c r="BJ169" s="385">
        <f t="shared" ca="1" si="9"/>
        <v>43660</v>
      </c>
      <c r="BL169" s="269">
        <f t="shared" ca="1" si="12"/>
        <v>0</v>
      </c>
      <c r="BM169" s="269">
        <f t="shared" ca="1" si="13"/>
        <v>0</v>
      </c>
      <c r="BN169" s="269">
        <f t="shared" ca="1" si="14"/>
        <v>0</v>
      </c>
      <c r="BO169" s="269">
        <f t="shared" ca="1" si="15"/>
        <v>1000</v>
      </c>
    </row>
    <row r="170" spans="33:67">
      <c r="AG170" s="450"/>
      <c r="AO170" s="385"/>
      <c r="BG170" s="332">
        <f ca="1">IF(BH170&lt;$BC$95+$BC$96,NA(),$Z$50)</f>
        <v>184.18499999999997</v>
      </c>
      <c r="BH170" s="385">
        <f t="shared" ca="1" si="10"/>
        <v>43661</v>
      </c>
      <c r="BI170" s="269">
        <v>183.97615646159275</v>
      </c>
      <c r="BJ170" s="385">
        <f t="shared" ca="1" si="9"/>
        <v>43661</v>
      </c>
      <c r="BL170" s="269">
        <f t="shared" ca="1" si="12"/>
        <v>0</v>
      </c>
      <c r="BM170" s="269">
        <f t="shared" ca="1" si="13"/>
        <v>0</v>
      </c>
      <c r="BN170" s="269">
        <f t="shared" ca="1" si="14"/>
        <v>0</v>
      </c>
      <c r="BO170" s="269">
        <f t="shared" ca="1" si="15"/>
        <v>1000</v>
      </c>
    </row>
    <row r="171" spans="33:67">
      <c r="AG171" s="450"/>
      <c r="AO171" s="385"/>
      <c r="BG171" s="332">
        <f ca="1">IF(BH171&lt;$BC$95+$BC$96,NA(),$Z$50)</f>
        <v>184.18499999999997</v>
      </c>
      <c r="BH171" s="385">
        <f t="shared" ca="1" si="10"/>
        <v>43662</v>
      </c>
      <c r="BI171" s="269">
        <v>152.85530609423296</v>
      </c>
      <c r="BJ171" s="385">
        <f t="shared" ref="BJ171:BJ185" ca="1" si="16">BH171</f>
        <v>43662</v>
      </c>
      <c r="BL171" s="269">
        <f t="shared" ca="1" si="12"/>
        <v>0</v>
      </c>
      <c r="BM171" s="269">
        <f t="shared" ca="1" si="13"/>
        <v>0</v>
      </c>
      <c r="BN171" s="269">
        <f t="shared" ca="1" si="14"/>
        <v>0</v>
      </c>
      <c r="BO171" s="269">
        <f t="shared" ca="1" si="15"/>
        <v>0</v>
      </c>
    </row>
    <row r="172" spans="33:67">
      <c r="AG172" s="450"/>
      <c r="AO172" s="385"/>
      <c r="BG172" s="332">
        <f t="shared" ca="1" si="11"/>
        <v>184.18499999999997</v>
      </c>
      <c r="BH172" s="385">
        <f t="shared" ca="1" si="10"/>
        <v>43663</v>
      </c>
      <c r="BI172" s="269">
        <v>145.53833331232892</v>
      </c>
      <c r="BJ172" s="385">
        <f t="shared" ca="1" si="16"/>
        <v>43663</v>
      </c>
      <c r="BL172" s="269">
        <f t="shared" ca="1" si="12"/>
        <v>0</v>
      </c>
      <c r="BM172" s="269">
        <f t="shared" ca="1" si="13"/>
        <v>0</v>
      </c>
      <c r="BN172" s="269">
        <f t="shared" ca="1" si="14"/>
        <v>0</v>
      </c>
      <c r="BO172" s="269">
        <f t="shared" ca="1" si="15"/>
        <v>0</v>
      </c>
    </row>
    <row r="173" spans="33:67">
      <c r="AG173" s="450"/>
      <c r="AO173" s="385"/>
      <c r="BG173" s="332">
        <f t="shared" ca="1" si="11"/>
        <v>184.18499999999997</v>
      </c>
      <c r="BH173" s="385">
        <f t="shared" ca="1" si="10"/>
        <v>43664</v>
      </c>
      <c r="BI173" s="269">
        <v>138.11982991099359</v>
      </c>
      <c r="BJ173" s="385">
        <f t="shared" ca="1" si="16"/>
        <v>43664</v>
      </c>
      <c r="BL173" s="269">
        <f t="shared" ca="1" si="12"/>
        <v>0</v>
      </c>
      <c r="BM173" s="269">
        <f t="shared" ca="1" si="13"/>
        <v>0</v>
      </c>
      <c r="BN173" s="269">
        <f t="shared" ca="1" si="14"/>
        <v>0</v>
      </c>
      <c r="BO173" s="269">
        <f t="shared" ca="1" si="15"/>
        <v>0</v>
      </c>
    </row>
    <row r="174" spans="33:67">
      <c r="AG174" s="450"/>
      <c r="AO174" s="385"/>
      <c r="BG174" s="332">
        <f t="shared" ca="1" si="11"/>
        <v>184.18499999999997</v>
      </c>
      <c r="BH174" s="385">
        <f t="shared" ca="1" si="10"/>
        <v>43665</v>
      </c>
      <c r="BI174" s="269">
        <v>132.13677550980822</v>
      </c>
      <c r="BJ174" s="385">
        <f t="shared" ca="1" si="16"/>
        <v>43665</v>
      </c>
      <c r="BL174" s="269">
        <f t="shared" ca="1" si="12"/>
        <v>0</v>
      </c>
      <c r="BM174" s="269">
        <f t="shared" ca="1" si="13"/>
        <v>0</v>
      </c>
      <c r="BN174" s="269">
        <f t="shared" ca="1" si="14"/>
        <v>0</v>
      </c>
      <c r="BO174" s="269">
        <f t="shared" ca="1" si="15"/>
        <v>0</v>
      </c>
    </row>
    <row r="175" spans="33:67">
      <c r="AG175" s="450"/>
      <c r="AO175" s="385"/>
      <c r="BG175" s="332">
        <f t="shared" ca="1" si="11"/>
        <v>184.18499999999997</v>
      </c>
      <c r="BH175" s="385">
        <f t="shared" ca="1" si="10"/>
        <v>43666</v>
      </c>
      <c r="BI175" s="269">
        <v>131.82272108821198</v>
      </c>
      <c r="BJ175" s="385">
        <f t="shared" ca="1" si="16"/>
        <v>43666</v>
      </c>
      <c r="BL175" s="269">
        <f t="shared" ca="1" si="12"/>
        <v>0</v>
      </c>
      <c r="BM175" s="269">
        <f t="shared" ca="1" si="13"/>
        <v>0</v>
      </c>
      <c r="BN175" s="269">
        <f t="shared" ca="1" si="14"/>
        <v>0</v>
      </c>
      <c r="BO175" s="269">
        <f t="shared" ca="1" si="15"/>
        <v>0</v>
      </c>
    </row>
    <row r="176" spans="33:67">
      <c r="AG176" s="450"/>
      <c r="AO176" s="385"/>
      <c r="BG176" s="332">
        <f t="shared" ca="1" si="11"/>
        <v>184.18499999999997</v>
      </c>
      <c r="BH176" s="385">
        <f t="shared" ca="1" si="10"/>
        <v>43667</v>
      </c>
      <c r="BI176" s="269">
        <v>131.50448299285023</v>
      </c>
      <c r="BJ176" s="385">
        <f t="shared" ca="1" si="16"/>
        <v>43667</v>
      </c>
      <c r="BL176" s="269">
        <f t="shared" ca="1" si="12"/>
        <v>0</v>
      </c>
      <c r="BM176" s="269">
        <f t="shared" ca="1" si="13"/>
        <v>0</v>
      </c>
      <c r="BN176" s="269">
        <f t="shared" ca="1" si="14"/>
        <v>0</v>
      </c>
      <c r="BO176" s="269">
        <f t="shared" ca="1" si="15"/>
        <v>0</v>
      </c>
    </row>
    <row r="177" spans="33:67">
      <c r="AG177" s="450"/>
      <c r="AO177" s="385"/>
      <c r="BG177" s="332">
        <f t="shared" ca="1" si="11"/>
        <v>184.18499999999997</v>
      </c>
      <c r="BH177" s="385">
        <f t="shared" ca="1" si="10"/>
        <v>43668</v>
      </c>
      <c r="BI177" s="269">
        <v>131.18206122448669</v>
      </c>
      <c r="BJ177" s="385">
        <f t="shared" ca="1" si="16"/>
        <v>43668</v>
      </c>
      <c r="BL177" s="269">
        <f t="shared" ca="1" si="12"/>
        <v>0</v>
      </c>
      <c r="BM177" s="269">
        <f t="shared" ca="1" si="13"/>
        <v>0</v>
      </c>
      <c r="BN177" s="269">
        <f t="shared" ca="1" si="14"/>
        <v>0</v>
      </c>
      <c r="BO177" s="269">
        <f t="shared" ca="1" si="15"/>
        <v>0</v>
      </c>
    </row>
    <row r="178" spans="33:67">
      <c r="AG178" s="450"/>
      <c r="AO178" s="385"/>
      <c r="BG178" s="332">
        <f t="shared" ca="1" si="11"/>
        <v>184.18499999999997</v>
      </c>
      <c r="BH178" s="385">
        <f t="shared" ca="1" si="10"/>
        <v>43669</v>
      </c>
      <c r="BI178" s="269">
        <v>130.85545578235758</v>
      </c>
      <c r="BJ178" s="385">
        <f t="shared" ca="1" si="16"/>
        <v>43669</v>
      </c>
      <c r="BL178" s="269">
        <f t="shared" ca="1" si="12"/>
        <v>0</v>
      </c>
      <c r="BM178" s="269">
        <f t="shared" ca="1" si="13"/>
        <v>0</v>
      </c>
      <c r="BN178" s="269">
        <f t="shared" ca="1" si="14"/>
        <v>0</v>
      </c>
      <c r="BO178" s="269">
        <f t="shared" ca="1" si="15"/>
        <v>0</v>
      </c>
    </row>
    <row r="179" spans="33:67">
      <c r="AG179" s="450"/>
      <c r="AO179" s="385"/>
      <c r="BG179" s="332">
        <f t="shared" ca="1" si="11"/>
        <v>184.18499999999997</v>
      </c>
      <c r="BH179" s="385">
        <f t="shared" ca="1" si="10"/>
        <v>43670</v>
      </c>
      <c r="BI179" s="269">
        <v>130.52466666646302</v>
      </c>
      <c r="BJ179" s="385">
        <f t="shared" ca="1" si="16"/>
        <v>43670</v>
      </c>
      <c r="BL179" s="269">
        <f t="shared" ca="1" si="12"/>
        <v>0</v>
      </c>
      <c r="BM179" s="269">
        <f t="shared" ca="1" si="13"/>
        <v>0</v>
      </c>
      <c r="BN179" s="269">
        <f t="shared" ca="1" si="14"/>
        <v>0</v>
      </c>
      <c r="BO179" s="269">
        <f t="shared" ca="1" si="15"/>
        <v>0</v>
      </c>
    </row>
    <row r="180" spans="33:67">
      <c r="AG180" s="450"/>
      <c r="AO180" s="385"/>
      <c r="BG180" s="332">
        <f t="shared" ca="1" si="11"/>
        <v>184.18499999999997</v>
      </c>
      <c r="BH180" s="385">
        <f t="shared" ca="1" si="10"/>
        <v>43671</v>
      </c>
      <c r="BI180" s="269">
        <v>130.18969387756658</v>
      </c>
      <c r="BJ180" s="385">
        <f t="shared" ca="1" si="16"/>
        <v>43671</v>
      </c>
      <c r="BL180" s="269">
        <f t="shared" ca="1" si="12"/>
        <v>0</v>
      </c>
      <c r="BM180" s="269">
        <f t="shared" ca="1" si="13"/>
        <v>0</v>
      </c>
      <c r="BN180" s="269">
        <f t="shared" ca="1" si="14"/>
        <v>0</v>
      </c>
      <c r="BO180" s="269">
        <f t="shared" ca="1" si="15"/>
        <v>0</v>
      </c>
    </row>
    <row r="181" spans="33:67">
      <c r="AG181" s="459"/>
      <c r="AO181" s="385"/>
      <c r="BG181" s="332">
        <f t="shared" ca="1" si="11"/>
        <v>184.18499999999997</v>
      </c>
      <c r="BH181" s="385">
        <f t="shared" ca="1" si="10"/>
        <v>43672</v>
      </c>
      <c r="BI181" s="269">
        <v>129.85053741490469</v>
      </c>
      <c r="BJ181" s="385">
        <f t="shared" ca="1" si="16"/>
        <v>43672</v>
      </c>
      <c r="BL181" s="269">
        <f t="shared" ca="1" si="12"/>
        <v>0</v>
      </c>
      <c r="BM181" s="269">
        <f t="shared" ca="1" si="13"/>
        <v>0</v>
      </c>
      <c r="BN181" s="269">
        <f t="shared" ca="1" si="14"/>
        <v>0</v>
      </c>
      <c r="BO181" s="269">
        <f t="shared" ca="1" si="15"/>
        <v>0</v>
      </c>
    </row>
    <row r="182" spans="33:67">
      <c r="AG182" s="19"/>
      <c r="AO182" s="385"/>
      <c r="BG182" s="332">
        <f t="shared" ca="1" si="11"/>
        <v>184.18499999999997</v>
      </c>
      <c r="BH182" s="385">
        <f t="shared" ref="BH182:BH218" ca="1" si="17">BH181+1</f>
        <v>43673</v>
      </c>
      <c r="BI182" s="269">
        <v>129.50719727771354</v>
      </c>
      <c r="BJ182" s="385">
        <f t="shared" ca="1" si="16"/>
        <v>43673</v>
      </c>
      <c r="BL182" s="269">
        <f t="shared" ca="1" si="12"/>
        <v>0</v>
      </c>
      <c r="BM182" s="269">
        <f t="shared" ca="1" si="13"/>
        <v>0</v>
      </c>
      <c r="BN182" s="269">
        <f t="shared" ca="1" si="14"/>
        <v>0</v>
      </c>
      <c r="BO182" s="269">
        <f t="shared" ca="1" si="15"/>
        <v>0</v>
      </c>
    </row>
    <row r="183" spans="33:67">
      <c r="AO183" s="385"/>
      <c r="BG183" s="332">
        <f t="shared" ca="1" si="11"/>
        <v>184.18499999999997</v>
      </c>
      <c r="BH183" s="385">
        <f t="shared" ca="1" si="17"/>
        <v>43674</v>
      </c>
      <c r="BI183" s="269">
        <v>129.1596734682843</v>
      </c>
      <c r="BJ183" s="385">
        <f t="shared" ca="1" si="16"/>
        <v>43674</v>
      </c>
      <c r="BL183" s="269">
        <f t="shared" ca="1" si="12"/>
        <v>0</v>
      </c>
      <c r="BM183" s="269">
        <f t="shared" ca="1" si="13"/>
        <v>0</v>
      </c>
      <c r="BN183" s="269">
        <f t="shared" ca="1" si="14"/>
        <v>0</v>
      </c>
      <c r="BO183" s="269">
        <f t="shared" ca="1" si="15"/>
        <v>0</v>
      </c>
    </row>
    <row r="184" spans="33:67">
      <c r="AO184" s="385"/>
      <c r="BG184" s="332">
        <f t="shared" ca="1" si="11"/>
        <v>184.18499999999997</v>
      </c>
      <c r="BH184" s="385">
        <f t="shared" ca="1" si="17"/>
        <v>43675</v>
      </c>
      <c r="BI184" s="269">
        <v>128.80796598508954</v>
      </c>
      <c r="BJ184" s="385">
        <f t="shared" ca="1" si="16"/>
        <v>43675</v>
      </c>
      <c r="BL184" s="269">
        <f t="shared" ca="1" si="12"/>
        <v>0</v>
      </c>
      <c r="BM184" s="269">
        <f t="shared" ca="1" si="13"/>
        <v>0</v>
      </c>
      <c r="BN184" s="269">
        <f t="shared" ca="1" si="14"/>
        <v>0</v>
      </c>
      <c r="BO184" s="269">
        <f t="shared" ca="1" si="15"/>
        <v>0</v>
      </c>
    </row>
    <row r="185" spans="33:67">
      <c r="AO185" s="385"/>
      <c r="BG185" s="332">
        <f t="shared" ca="1" si="11"/>
        <v>184.18499999999997</v>
      </c>
      <c r="BH185" s="385">
        <f t="shared" ca="1" si="17"/>
        <v>43676</v>
      </c>
      <c r="BI185" s="269">
        <v>128.45207482889293</v>
      </c>
      <c r="BJ185" s="385">
        <f t="shared" ca="1" si="16"/>
        <v>43676</v>
      </c>
      <c r="BL185" s="269">
        <f t="shared" ca="1" si="12"/>
        <v>0</v>
      </c>
      <c r="BM185" s="269">
        <f t="shared" ca="1" si="13"/>
        <v>0</v>
      </c>
      <c r="BN185" s="269">
        <f t="shared" ca="1" si="14"/>
        <v>0</v>
      </c>
      <c r="BO185" s="269">
        <f t="shared" ca="1" si="15"/>
        <v>0</v>
      </c>
    </row>
    <row r="186" spans="33:67">
      <c r="AO186" s="19"/>
      <c r="BG186" s="332">
        <f t="shared" ca="1" si="11"/>
        <v>184.18499999999997</v>
      </c>
      <c r="BH186" s="385">
        <f t="shared" ca="1" si="17"/>
        <v>43677</v>
      </c>
      <c r="BI186" s="269">
        <v>128.09199999969451</v>
      </c>
      <c r="BJ186" s="385">
        <f ca="1">BH186</f>
        <v>43677</v>
      </c>
      <c r="BL186" s="269">
        <f t="shared" ca="1" si="12"/>
        <v>0</v>
      </c>
      <c r="BM186" s="269">
        <f t="shared" ca="1" si="13"/>
        <v>0</v>
      </c>
      <c r="BN186" s="269">
        <f t="shared" ca="1" si="14"/>
        <v>0</v>
      </c>
      <c r="BO186" s="269">
        <f t="shared" ca="1" si="15"/>
        <v>0</v>
      </c>
    </row>
    <row r="187" spans="33:67">
      <c r="BG187" s="332">
        <f t="shared" ca="1" si="11"/>
        <v>184.18499999999997</v>
      </c>
      <c r="BH187" s="385">
        <f t="shared" ca="1" si="17"/>
        <v>43678</v>
      </c>
      <c r="BI187" s="269">
        <v>127.72774149596691</v>
      </c>
      <c r="BJ187" s="385">
        <f t="shared" ref="BJ187:BJ218" ca="1" si="18">BH187</f>
        <v>43678</v>
      </c>
      <c r="BL187" s="269">
        <f t="shared" ca="1" si="12"/>
        <v>0</v>
      </c>
      <c r="BM187" s="269">
        <f t="shared" ca="1" si="13"/>
        <v>0</v>
      </c>
      <c r="BN187" s="269">
        <f t="shared" ca="1" si="14"/>
        <v>0</v>
      </c>
      <c r="BO187" s="269">
        <f t="shared" ca="1" si="15"/>
        <v>0</v>
      </c>
    </row>
    <row r="188" spans="33:67">
      <c r="BG188" s="332">
        <f t="shared" ca="1" si="11"/>
        <v>184.18499999999997</v>
      </c>
      <c r="BH188" s="385">
        <f t="shared" ca="1" si="17"/>
        <v>43679</v>
      </c>
      <c r="BI188" s="269">
        <v>127.35929931923744</v>
      </c>
      <c r="BJ188" s="385">
        <f t="shared" ca="1" si="18"/>
        <v>43679</v>
      </c>
      <c r="BL188" s="269">
        <f t="shared" ca="1" si="12"/>
        <v>0</v>
      </c>
      <c r="BM188" s="269">
        <f t="shared" ca="1" si="13"/>
        <v>0</v>
      </c>
      <c r="BN188" s="269">
        <f t="shared" ca="1" si="14"/>
        <v>0</v>
      </c>
      <c r="BO188" s="269">
        <f t="shared" ca="1" si="15"/>
        <v>0</v>
      </c>
    </row>
    <row r="189" spans="33:67">
      <c r="BG189" s="332">
        <f t="shared" ca="1" si="11"/>
        <v>184.18499999999997</v>
      </c>
      <c r="BH189" s="385">
        <f t="shared" ca="1" si="17"/>
        <v>43680</v>
      </c>
      <c r="BI189" s="269">
        <v>126.98667346874251</v>
      </c>
      <c r="BJ189" s="385">
        <f t="shared" ca="1" si="18"/>
        <v>43680</v>
      </c>
      <c r="BL189" s="269">
        <f t="shared" ca="1" si="12"/>
        <v>0</v>
      </c>
      <c r="BM189" s="269">
        <f t="shared" ca="1" si="13"/>
        <v>0</v>
      </c>
      <c r="BN189" s="269">
        <f t="shared" ca="1" si="14"/>
        <v>0</v>
      </c>
      <c r="BO189" s="269">
        <f t="shared" ca="1" si="15"/>
        <v>0</v>
      </c>
    </row>
    <row r="190" spans="33:67">
      <c r="BG190" s="332">
        <f t="shared" ca="1" si="11"/>
        <v>184.18499999999997</v>
      </c>
      <c r="BH190" s="385">
        <f t="shared" ca="1" si="17"/>
        <v>43681</v>
      </c>
      <c r="BI190" s="269">
        <v>126.60986394524572</v>
      </c>
      <c r="BJ190" s="385">
        <f t="shared" ca="1" si="18"/>
        <v>43681</v>
      </c>
      <c r="BL190" s="269">
        <f t="shared" ca="1" si="12"/>
        <v>0</v>
      </c>
      <c r="BM190" s="269">
        <f t="shared" ca="1" si="13"/>
        <v>0</v>
      </c>
      <c r="BN190" s="269">
        <f t="shared" ca="1" si="14"/>
        <v>0</v>
      </c>
      <c r="BO190" s="269">
        <f t="shared" ca="1" si="15"/>
        <v>0</v>
      </c>
    </row>
    <row r="191" spans="33:67">
      <c r="BG191" s="332">
        <f t="shared" ca="1" si="11"/>
        <v>184.18499999999997</v>
      </c>
      <c r="BH191" s="385">
        <f t="shared" ca="1" si="17"/>
        <v>43682</v>
      </c>
      <c r="BI191" s="269">
        <v>126.22887074798342</v>
      </c>
      <c r="BJ191" s="385">
        <f t="shared" ca="1" si="18"/>
        <v>43682</v>
      </c>
      <c r="BL191" s="269">
        <f t="shared" ca="1" si="12"/>
        <v>0</v>
      </c>
      <c r="BM191" s="269">
        <f t="shared" ca="1" si="13"/>
        <v>0</v>
      </c>
      <c r="BN191" s="269">
        <f t="shared" ca="1" si="14"/>
        <v>0</v>
      </c>
      <c r="BO191" s="269">
        <f t="shared" ca="1" si="15"/>
        <v>0</v>
      </c>
    </row>
    <row r="192" spans="33:67">
      <c r="BG192" s="332">
        <f t="shared" ca="1" si="11"/>
        <v>184.18499999999997</v>
      </c>
      <c r="BH192" s="385">
        <f t="shared" ca="1" si="17"/>
        <v>43683</v>
      </c>
      <c r="BI192" s="269">
        <v>125.8436938777193</v>
      </c>
      <c r="BJ192" s="385">
        <f t="shared" ca="1" si="18"/>
        <v>43683</v>
      </c>
      <c r="BL192" s="269">
        <f t="shared" ca="1" si="12"/>
        <v>0</v>
      </c>
      <c r="BM192" s="269">
        <f t="shared" ca="1" si="13"/>
        <v>0</v>
      </c>
      <c r="BN192" s="269">
        <f t="shared" ca="1" si="14"/>
        <v>0</v>
      </c>
      <c r="BO192" s="269">
        <f t="shared" ca="1" si="15"/>
        <v>0</v>
      </c>
    </row>
    <row r="193" spans="59:67">
      <c r="BG193" s="332">
        <f t="shared" ca="1" si="11"/>
        <v>184.18499999999997</v>
      </c>
      <c r="BH193" s="385">
        <f t="shared" ca="1" si="17"/>
        <v>43684</v>
      </c>
      <c r="BI193" s="269">
        <v>125.45433333368968</v>
      </c>
      <c r="BJ193" s="385">
        <f t="shared" ca="1" si="18"/>
        <v>43684</v>
      </c>
      <c r="BL193" s="269">
        <f t="shared" ca="1" si="12"/>
        <v>0</v>
      </c>
      <c r="BM193" s="269">
        <f t="shared" ca="1" si="13"/>
        <v>0</v>
      </c>
      <c r="BN193" s="269">
        <f t="shared" ca="1" si="14"/>
        <v>0</v>
      </c>
      <c r="BO193" s="269">
        <f t="shared" ca="1" si="15"/>
        <v>0</v>
      </c>
    </row>
    <row r="194" spans="59:67">
      <c r="BG194" s="332">
        <f t="shared" ca="1" si="11"/>
        <v>184.18499999999997</v>
      </c>
      <c r="BH194" s="385">
        <f t="shared" ca="1" si="17"/>
        <v>43685</v>
      </c>
      <c r="BI194" s="269">
        <v>125.06078911436721</v>
      </c>
      <c r="BJ194" s="385">
        <f t="shared" ca="1" si="18"/>
        <v>43685</v>
      </c>
      <c r="BL194" s="269">
        <f t="shared" ca="1" si="12"/>
        <v>0</v>
      </c>
      <c r="BM194" s="269">
        <f t="shared" ca="1" si="13"/>
        <v>0</v>
      </c>
      <c r="BN194" s="269">
        <f t="shared" ca="1" si="14"/>
        <v>0</v>
      </c>
      <c r="BO194" s="269">
        <f t="shared" ca="1" si="15"/>
        <v>0</v>
      </c>
    </row>
    <row r="195" spans="59:67">
      <c r="BG195" s="332">
        <f t="shared" ca="1" si="11"/>
        <v>184.18499999999997</v>
      </c>
      <c r="BH195" s="385">
        <f t="shared" ca="1" si="17"/>
        <v>43686</v>
      </c>
      <c r="BI195" s="269">
        <v>124.66306122357022</v>
      </c>
      <c r="BJ195" s="385">
        <f t="shared" ca="1" si="18"/>
        <v>43686</v>
      </c>
      <c r="BL195" s="269">
        <f t="shared" ca="1" si="12"/>
        <v>0</v>
      </c>
      <c r="BM195" s="269">
        <f t="shared" ca="1" si="13"/>
        <v>0</v>
      </c>
      <c r="BN195" s="269">
        <f t="shared" ca="1" si="14"/>
        <v>0</v>
      </c>
      <c r="BO195" s="269">
        <f t="shared" ca="1" si="15"/>
        <v>0</v>
      </c>
    </row>
    <row r="196" spans="59:67">
      <c r="BG196" s="332">
        <f t="shared" ca="1" si="11"/>
        <v>184.18499999999997</v>
      </c>
      <c r="BH196" s="385">
        <f t="shared" ca="1" si="17"/>
        <v>43687</v>
      </c>
      <c r="BI196" s="269">
        <v>124.26114965900777</v>
      </c>
      <c r="BJ196" s="385">
        <f t="shared" ca="1" si="18"/>
        <v>43687</v>
      </c>
      <c r="BL196" s="269">
        <f t="shared" ca="1" si="12"/>
        <v>0</v>
      </c>
      <c r="BM196" s="269">
        <f t="shared" ca="1" si="13"/>
        <v>0</v>
      </c>
      <c r="BN196" s="269">
        <f t="shared" ca="1" si="14"/>
        <v>0</v>
      </c>
      <c r="BO196" s="269">
        <f t="shared" ca="1" si="15"/>
        <v>0</v>
      </c>
    </row>
    <row r="197" spans="59:67">
      <c r="BG197" s="332">
        <f t="shared" ca="1" si="11"/>
        <v>184.18499999999997</v>
      </c>
      <c r="BH197" s="385">
        <f t="shared" ca="1" si="17"/>
        <v>43688</v>
      </c>
      <c r="BI197" s="269">
        <v>123.85505442067978</v>
      </c>
      <c r="BJ197" s="385">
        <f t="shared" ca="1" si="18"/>
        <v>43688</v>
      </c>
      <c r="BL197" s="269">
        <f t="shared" ca="1" si="12"/>
        <v>0</v>
      </c>
      <c r="BM197" s="269">
        <f t="shared" ca="1" si="13"/>
        <v>0</v>
      </c>
      <c r="BN197" s="269">
        <f t="shared" ca="1" si="14"/>
        <v>0</v>
      </c>
      <c r="BO197" s="269">
        <f t="shared" ca="1" si="15"/>
        <v>0</v>
      </c>
    </row>
    <row r="198" spans="59:67">
      <c r="BG198" s="332">
        <f t="shared" ca="1" si="11"/>
        <v>184.18499999999997</v>
      </c>
      <c r="BH198" s="385">
        <f t="shared" ca="1" si="17"/>
        <v>43689</v>
      </c>
      <c r="BI198" s="269">
        <v>123.44477550934997</v>
      </c>
      <c r="BJ198" s="385">
        <f t="shared" ca="1" si="18"/>
        <v>43689</v>
      </c>
      <c r="BL198" s="269">
        <f t="shared" ca="1" si="12"/>
        <v>0</v>
      </c>
      <c r="BM198" s="269">
        <f t="shared" ca="1" si="13"/>
        <v>0</v>
      </c>
      <c r="BN198" s="269">
        <f t="shared" ca="1" si="14"/>
        <v>0</v>
      </c>
      <c r="BO198" s="269">
        <f t="shared" ca="1" si="15"/>
        <v>0</v>
      </c>
    </row>
    <row r="199" spans="59:67">
      <c r="BG199" s="332">
        <f t="shared" ca="1" si="11"/>
        <v>184.18499999999997</v>
      </c>
      <c r="BH199" s="385">
        <f t="shared" ca="1" si="17"/>
        <v>43690</v>
      </c>
      <c r="BI199" s="269">
        <v>123.03031292501834</v>
      </c>
      <c r="BJ199" s="385">
        <f t="shared" ca="1" si="18"/>
        <v>43690</v>
      </c>
      <c r="BL199" s="269">
        <f t="shared" ca="1" si="12"/>
        <v>0</v>
      </c>
      <c r="BM199" s="269">
        <f t="shared" ca="1" si="13"/>
        <v>0</v>
      </c>
      <c r="BN199" s="269">
        <f t="shared" ca="1" si="14"/>
        <v>0</v>
      </c>
      <c r="BO199" s="269">
        <f t="shared" ca="1" si="15"/>
        <v>0</v>
      </c>
    </row>
    <row r="200" spans="59:67">
      <c r="BG200" s="332">
        <f t="shared" ca="1" si="11"/>
        <v>184.18499999999997</v>
      </c>
      <c r="BH200" s="385">
        <f t="shared" ca="1" si="17"/>
        <v>43691</v>
      </c>
      <c r="BI200" s="269">
        <v>122.6116666661575</v>
      </c>
      <c r="BJ200" s="385">
        <f t="shared" ca="1" si="18"/>
        <v>43691</v>
      </c>
      <c r="BL200" s="269">
        <f t="shared" ca="1" si="12"/>
        <v>0</v>
      </c>
      <c r="BM200" s="269">
        <f t="shared" ca="1" si="13"/>
        <v>0</v>
      </c>
      <c r="BN200" s="269">
        <f t="shared" ca="1" si="14"/>
        <v>0</v>
      </c>
      <c r="BO200" s="269">
        <f t="shared" ca="1" si="15"/>
        <v>0</v>
      </c>
    </row>
    <row r="201" spans="59:67">
      <c r="BG201" s="332">
        <f t="shared" ca="1" si="11"/>
        <v>184.18499999999997</v>
      </c>
      <c r="BH201" s="385">
        <f t="shared" ca="1" si="17"/>
        <v>43692</v>
      </c>
      <c r="BI201" s="269">
        <v>122.18883673429485</v>
      </c>
      <c r="BJ201" s="385">
        <f t="shared" ca="1" si="18"/>
        <v>43692</v>
      </c>
      <c r="BL201" s="269">
        <f t="shared" ca="1" si="12"/>
        <v>0</v>
      </c>
      <c r="BM201" s="269">
        <f t="shared" ca="1" si="13"/>
        <v>0</v>
      </c>
      <c r="BN201" s="269">
        <f t="shared" ca="1" si="14"/>
        <v>0</v>
      </c>
      <c r="BO201" s="269">
        <f t="shared" ca="1" si="15"/>
        <v>0</v>
      </c>
    </row>
    <row r="202" spans="59:67">
      <c r="BG202" s="332">
        <f t="shared" ca="1" si="11"/>
        <v>184.18499999999997</v>
      </c>
      <c r="BH202" s="385">
        <f t="shared" ca="1" si="17"/>
        <v>43693</v>
      </c>
      <c r="BI202" s="269">
        <v>121.76182312943037</v>
      </c>
      <c r="BJ202" s="385">
        <f t="shared" ca="1" si="18"/>
        <v>43693</v>
      </c>
      <c r="BL202" s="269">
        <f t="shared" ca="1" si="12"/>
        <v>0</v>
      </c>
      <c r="BM202" s="269">
        <f t="shared" ca="1" si="13"/>
        <v>0</v>
      </c>
      <c r="BN202" s="269">
        <f t="shared" ca="1" si="14"/>
        <v>0</v>
      </c>
      <c r="BO202" s="269">
        <f t="shared" ca="1" si="15"/>
        <v>0</v>
      </c>
    </row>
    <row r="203" spans="59:67">
      <c r="BG203" s="332">
        <f t="shared" ca="1" si="11"/>
        <v>184.18499999999997</v>
      </c>
      <c r="BH203" s="385">
        <f t="shared" ca="1" si="17"/>
        <v>43694</v>
      </c>
      <c r="BI203" s="269">
        <v>121.33062585003671</v>
      </c>
      <c r="BJ203" s="385">
        <f t="shared" ca="1" si="18"/>
        <v>43694</v>
      </c>
      <c r="BL203" s="269">
        <f t="shared" ca="1" si="12"/>
        <v>0</v>
      </c>
      <c r="BM203" s="269">
        <f t="shared" ca="1" si="13"/>
        <v>0</v>
      </c>
      <c r="BN203" s="269">
        <f t="shared" ca="1" si="14"/>
        <v>0</v>
      </c>
      <c r="BO203" s="269">
        <f t="shared" ca="1" si="15"/>
        <v>0</v>
      </c>
    </row>
    <row r="204" spans="59:67">
      <c r="BG204" s="332">
        <f t="shared" ca="1" si="11"/>
        <v>184.18499999999997</v>
      </c>
      <c r="BH204" s="385">
        <f t="shared" ca="1" si="17"/>
        <v>43695</v>
      </c>
      <c r="BI204" s="269">
        <v>120.8952448984049</v>
      </c>
      <c r="BJ204" s="385">
        <f t="shared" ca="1" si="18"/>
        <v>43695</v>
      </c>
      <c r="BL204" s="269">
        <f t="shared" ca="1" si="12"/>
        <v>0</v>
      </c>
      <c r="BM204" s="269">
        <f t="shared" ca="1" si="13"/>
        <v>0</v>
      </c>
      <c r="BN204" s="269">
        <f t="shared" ca="1" si="14"/>
        <v>0</v>
      </c>
      <c r="BO204" s="269">
        <f t="shared" ca="1" si="15"/>
        <v>0</v>
      </c>
    </row>
    <row r="205" spans="59:67">
      <c r="BG205" s="332">
        <f t="shared" ca="1" si="11"/>
        <v>184.18499999999997</v>
      </c>
      <c r="BH205" s="385">
        <f t="shared" ca="1" si="17"/>
        <v>43696</v>
      </c>
      <c r="BI205" s="269">
        <v>120.45568027071654</v>
      </c>
      <c r="BJ205" s="385">
        <f t="shared" ca="1" si="18"/>
        <v>43696</v>
      </c>
      <c r="BL205" s="269">
        <f t="shared" ca="1" si="12"/>
        <v>0</v>
      </c>
      <c r="BM205" s="269">
        <f t="shared" ca="1" si="13"/>
        <v>0</v>
      </c>
      <c r="BN205" s="269">
        <f t="shared" ca="1" si="14"/>
        <v>0</v>
      </c>
      <c r="BO205" s="269">
        <f t="shared" ca="1" si="15"/>
        <v>0</v>
      </c>
    </row>
    <row r="206" spans="59:67">
      <c r="BG206" s="332">
        <f t="shared" ca="1" si="11"/>
        <v>184.18499999999997</v>
      </c>
      <c r="BH206" s="385">
        <f t="shared" ca="1" si="17"/>
        <v>43697</v>
      </c>
      <c r="BI206" s="269">
        <v>120.01193197155368</v>
      </c>
      <c r="BJ206" s="385">
        <f t="shared" ca="1" si="18"/>
        <v>43697</v>
      </c>
      <c r="BL206" s="269">
        <f t="shared" ca="1" si="12"/>
        <v>0</v>
      </c>
      <c r="BM206" s="269">
        <f t="shared" ca="1" si="13"/>
        <v>0</v>
      </c>
      <c r="BN206" s="269">
        <f t="shared" ca="1" si="14"/>
        <v>0</v>
      </c>
      <c r="BO206" s="269">
        <f t="shared" ca="1" si="15"/>
        <v>0</v>
      </c>
    </row>
    <row r="207" spans="59:67">
      <c r="BG207" s="332">
        <f t="shared" ca="1" si="11"/>
        <v>184.18499999999997</v>
      </c>
      <c r="BH207" s="385">
        <f t="shared" ca="1" si="17"/>
        <v>43698</v>
      </c>
      <c r="BI207" s="269">
        <v>119.56399999938904</v>
      </c>
      <c r="BJ207" s="385">
        <f t="shared" ca="1" si="18"/>
        <v>43698</v>
      </c>
      <c r="BL207" s="269">
        <f t="shared" ca="1" si="12"/>
        <v>0</v>
      </c>
      <c r="BM207" s="269">
        <f t="shared" ca="1" si="13"/>
        <v>0</v>
      </c>
      <c r="BN207" s="269">
        <f t="shared" ca="1" si="14"/>
        <v>0</v>
      </c>
      <c r="BO207" s="269">
        <f t="shared" ca="1" si="15"/>
        <v>0</v>
      </c>
    </row>
    <row r="208" spans="59:67">
      <c r="BG208" s="332">
        <f t="shared" ca="1" si="11"/>
        <v>184.18499999999997</v>
      </c>
      <c r="BH208" s="385">
        <f t="shared" ca="1" si="17"/>
        <v>43699</v>
      </c>
      <c r="BI208" s="269">
        <v>119.11188435269516</v>
      </c>
      <c r="BJ208" s="385">
        <f t="shared" ca="1" si="18"/>
        <v>43699</v>
      </c>
      <c r="BL208" s="269">
        <f t="shared" ca="1" si="12"/>
        <v>0</v>
      </c>
      <c r="BM208" s="269">
        <f t="shared" ca="1" si="13"/>
        <v>0</v>
      </c>
      <c r="BN208" s="269">
        <f t="shared" ca="1" si="14"/>
        <v>0</v>
      </c>
      <c r="BO208" s="269">
        <f t="shared" ca="1" si="15"/>
        <v>0</v>
      </c>
    </row>
    <row r="209" spans="59:67">
      <c r="BG209" s="332">
        <f t="shared" ca="1" si="11"/>
        <v>184.18499999999997</v>
      </c>
      <c r="BH209" s="385">
        <f t="shared" ca="1" si="17"/>
        <v>43700</v>
      </c>
      <c r="BI209" s="269">
        <v>118.65558503299948</v>
      </c>
      <c r="BJ209" s="385">
        <f t="shared" ca="1" si="18"/>
        <v>43700</v>
      </c>
      <c r="BL209" s="269">
        <f t="shared" ca="1" si="12"/>
        <v>0</v>
      </c>
      <c r="BM209" s="269">
        <f t="shared" ca="1" si="13"/>
        <v>0</v>
      </c>
      <c r="BN209" s="269">
        <f t="shared" ca="1" si="14"/>
        <v>0</v>
      </c>
      <c r="BO209" s="269">
        <f t="shared" ca="1" si="15"/>
        <v>0</v>
      </c>
    </row>
    <row r="210" spans="59:67">
      <c r="BG210" s="332">
        <f t="shared" ca="1" si="11"/>
        <v>184.18499999999997</v>
      </c>
      <c r="BH210" s="385">
        <f t="shared" ca="1" si="17"/>
        <v>43701</v>
      </c>
      <c r="BI210" s="269">
        <v>118.19510204030198</v>
      </c>
      <c r="BJ210" s="385">
        <f t="shared" ca="1" si="18"/>
        <v>43701</v>
      </c>
      <c r="BL210" s="269">
        <f t="shared" ca="1" si="12"/>
        <v>0</v>
      </c>
      <c r="BM210" s="269">
        <f t="shared" ca="1" si="13"/>
        <v>0</v>
      </c>
      <c r="BN210" s="269">
        <f t="shared" ca="1" si="14"/>
        <v>0</v>
      </c>
      <c r="BO210" s="269">
        <f t="shared" ca="1" si="15"/>
        <v>0</v>
      </c>
    </row>
    <row r="211" spans="59:67">
      <c r="BG211" s="332">
        <f t="shared" ca="1" si="11"/>
        <v>184.18499999999997</v>
      </c>
      <c r="BH211" s="385">
        <f t="shared" ca="1" si="17"/>
        <v>43702</v>
      </c>
      <c r="BI211" s="269">
        <v>117.73043537383896</v>
      </c>
      <c r="BJ211" s="385">
        <f t="shared" ca="1" si="18"/>
        <v>43702</v>
      </c>
      <c r="BL211" s="269">
        <f t="shared" ca="1" si="12"/>
        <v>0</v>
      </c>
      <c r="BM211" s="269">
        <f t="shared" ca="1" si="13"/>
        <v>0</v>
      </c>
      <c r="BN211" s="269">
        <f t="shared" ca="1" si="14"/>
        <v>0</v>
      </c>
      <c r="BO211" s="269">
        <f t="shared" ca="1" si="15"/>
        <v>0</v>
      </c>
    </row>
    <row r="212" spans="59:67">
      <c r="BG212" s="332">
        <f t="shared" ref="BG212:BG218" ca="1" si="19">IF(BH212&lt;$BC$95+$BC$96,NA(),$Z$50)</f>
        <v>184.18499999999997</v>
      </c>
      <c r="BH212" s="385">
        <f t="shared" ca="1" si="17"/>
        <v>43703</v>
      </c>
      <c r="BI212" s="269">
        <v>117.26158503361043</v>
      </c>
      <c r="BJ212" s="385">
        <f t="shared" ca="1" si="18"/>
        <v>43703</v>
      </c>
      <c r="BL212" s="269">
        <f t="shared" ref="BL212:BL218" ca="1" si="20">IF(AND(BH212&gt;=$BB$95,BH212&lt;=$BB$95+$BB$96),1000,0)</f>
        <v>0</v>
      </c>
      <c r="BM212" s="269">
        <f t="shared" ref="BM212:BM218" ca="1" si="21">IF(BH212=$BB$97,1000,0)</f>
        <v>0</v>
      </c>
      <c r="BN212" s="269">
        <f t="shared" ref="BN212:BN218" ca="1" si="22">IF(BH212=$BC$97,1000,0)</f>
        <v>0</v>
      </c>
      <c r="BO212" s="269">
        <f t="shared" ref="BO212:BO218" ca="1" si="23">IF(AND(BH212&gt;=$BC$95,BH212&lt;=$BC$95+$BC$96),1000,0)</f>
        <v>0</v>
      </c>
    </row>
    <row r="213" spans="59:67">
      <c r="BG213" s="332">
        <f t="shared" ca="1" si="19"/>
        <v>184.18499999999997</v>
      </c>
      <c r="BH213" s="385">
        <f t="shared" ca="1" si="17"/>
        <v>43704</v>
      </c>
      <c r="BI213" s="269">
        <v>116.78855102038007</v>
      </c>
      <c r="BJ213" s="385">
        <f t="shared" ca="1" si="18"/>
        <v>43704</v>
      </c>
      <c r="BL213" s="269">
        <f t="shared" ca="1" si="20"/>
        <v>0</v>
      </c>
      <c r="BM213" s="269">
        <f t="shared" ca="1" si="21"/>
        <v>0</v>
      </c>
      <c r="BN213" s="269">
        <f t="shared" ca="1" si="22"/>
        <v>0</v>
      </c>
      <c r="BO213" s="269">
        <f t="shared" ca="1" si="23"/>
        <v>0</v>
      </c>
    </row>
    <row r="214" spans="59:67">
      <c r="BG214" s="332">
        <f t="shared" ca="1" si="19"/>
        <v>184.18499999999997</v>
      </c>
      <c r="BH214" s="385">
        <f t="shared" ca="1" si="17"/>
        <v>43705</v>
      </c>
      <c r="BI214" s="269">
        <v>116.31133333338418</v>
      </c>
      <c r="BJ214" s="385">
        <f t="shared" ca="1" si="18"/>
        <v>43705</v>
      </c>
      <c r="BL214" s="269">
        <f t="shared" ca="1" si="20"/>
        <v>0</v>
      </c>
      <c r="BM214" s="269">
        <f t="shared" ca="1" si="21"/>
        <v>0</v>
      </c>
      <c r="BN214" s="269">
        <f t="shared" ca="1" si="22"/>
        <v>0</v>
      </c>
      <c r="BO214" s="269">
        <f t="shared" ca="1" si="23"/>
        <v>0</v>
      </c>
    </row>
    <row r="215" spans="59:67">
      <c r="BG215" s="332">
        <f t="shared" ca="1" si="19"/>
        <v>184.18499999999997</v>
      </c>
      <c r="BH215" s="385">
        <f t="shared" ca="1" si="17"/>
        <v>43706</v>
      </c>
      <c r="BI215" s="269">
        <v>115.82993197262286</v>
      </c>
      <c r="BJ215" s="385">
        <f t="shared" ca="1" si="18"/>
        <v>43706</v>
      </c>
      <c r="BL215" s="269">
        <f t="shared" ca="1" si="20"/>
        <v>0</v>
      </c>
      <c r="BM215" s="269">
        <f t="shared" ca="1" si="21"/>
        <v>0</v>
      </c>
      <c r="BN215" s="269">
        <f t="shared" ca="1" si="22"/>
        <v>0</v>
      </c>
      <c r="BO215" s="269">
        <f t="shared" ca="1" si="23"/>
        <v>0</v>
      </c>
    </row>
    <row r="216" spans="59:67">
      <c r="BG216" s="332">
        <f t="shared" ca="1" si="19"/>
        <v>184.18499999999997</v>
      </c>
      <c r="BH216" s="385">
        <f t="shared" ca="1" si="17"/>
        <v>43707</v>
      </c>
      <c r="BI216" s="269">
        <v>115.34434693885962</v>
      </c>
      <c r="BJ216" s="385">
        <f t="shared" ca="1" si="18"/>
        <v>43707</v>
      </c>
      <c r="BL216" s="269">
        <f t="shared" ca="1" si="20"/>
        <v>0</v>
      </c>
      <c r="BM216" s="269">
        <f t="shared" ca="1" si="21"/>
        <v>0</v>
      </c>
      <c r="BN216" s="269">
        <f t="shared" ca="1" si="22"/>
        <v>0</v>
      </c>
      <c r="BO216" s="269">
        <f t="shared" ca="1" si="23"/>
        <v>0</v>
      </c>
    </row>
    <row r="217" spans="59:67">
      <c r="BG217" s="332">
        <f t="shared" ca="1" si="19"/>
        <v>184.18499999999997</v>
      </c>
      <c r="BH217" s="385">
        <f t="shared" ca="1" si="17"/>
        <v>43708</v>
      </c>
      <c r="BI217" s="269">
        <v>114.85457822980354</v>
      </c>
      <c r="BJ217" s="385">
        <f t="shared" ca="1" si="18"/>
        <v>43708</v>
      </c>
      <c r="BL217" s="269">
        <f t="shared" ca="1" si="20"/>
        <v>0</v>
      </c>
      <c r="BM217" s="269">
        <f t="shared" ca="1" si="21"/>
        <v>0</v>
      </c>
      <c r="BN217" s="269">
        <f t="shared" ca="1" si="22"/>
        <v>0</v>
      </c>
      <c r="BO217" s="269">
        <f t="shared" ca="1" si="23"/>
        <v>0</v>
      </c>
    </row>
    <row r="218" spans="59:67">
      <c r="BG218" s="332">
        <f t="shared" ca="1" si="19"/>
        <v>184.18499999999997</v>
      </c>
      <c r="BH218" s="385">
        <f t="shared" ca="1" si="17"/>
        <v>43709</v>
      </c>
      <c r="BI218" s="269">
        <v>114.36062584927302</v>
      </c>
      <c r="BJ218" s="385">
        <f t="shared" ca="1" si="18"/>
        <v>43709</v>
      </c>
      <c r="BL218" s="269">
        <f t="shared" ca="1" si="20"/>
        <v>0</v>
      </c>
      <c r="BM218" s="269">
        <f t="shared" ca="1" si="21"/>
        <v>0</v>
      </c>
      <c r="BN218" s="269">
        <f t="shared" ca="1" si="22"/>
        <v>0</v>
      </c>
      <c r="BO218" s="269">
        <f t="shared" ca="1" si="23"/>
        <v>0</v>
      </c>
    </row>
  </sheetData>
  <sheetProtection sheet="1" objects="1" scenarios="1" selectLockedCells="1"/>
  <scenarios current="0" show="0">
    <scenario name="Corn Already Planted" count="1" user="William Edwards" comment="Created by William Edwards on 4/14/2005">
      <inputCells r="F15" val="38467" numFmtId="16"/>
    </scenario>
  </scenarios>
  <mergeCells count="36">
    <mergeCell ref="C37:H37"/>
    <mergeCell ref="C71:F71"/>
    <mergeCell ref="BB86:BC86"/>
    <mergeCell ref="R19:R20"/>
    <mergeCell ref="P19:P20"/>
    <mergeCell ref="N19:N20"/>
    <mergeCell ref="L19:L20"/>
    <mergeCell ref="J19:J20"/>
    <mergeCell ref="T19:T20"/>
    <mergeCell ref="V19:V20"/>
    <mergeCell ref="X19:X20"/>
    <mergeCell ref="Z19:Z20"/>
    <mergeCell ref="AB19:AB20"/>
    <mergeCell ref="C29:D29"/>
    <mergeCell ref="E19:F19"/>
    <mergeCell ref="V10:V11"/>
    <mergeCell ref="X10:X11"/>
    <mergeCell ref="Z10:Z11"/>
    <mergeCell ref="AB10:AB11"/>
    <mergeCell ref="P14:P16"/>
    <mergeCell ref="Z14:Z16"/>
    <mergeCell ref="T10:T11"/>
    <mergeCell ref="J10:J11"/>
    <mergeCell ref="L10:L11"/>
    <mergeCell ref="N10:N11"/>
    <mergeCell ref="P10:P11"/>
    <mergeCell ref="R10:R11"/>
    <mergeCell ref="J9:N9"/>
    <mergeCell ref="P9:T9"/>
    <mergeCell ref="V9:X9"/>
    <mergeCell ref="Z9:AB9"/>
    <mergeCell ref="D6:F6"/>
    <mergeCell ref="J8:N8"/>
    <mergeCell ref="P8:T8"/>
    <mergeCell ref="V8:X8"/>
    <mergeCell ref="Z8:AB8"/>
  </mergeCells>
  <conditionalFormatting sqref="J26:K26">
    <cfRule type="cellIs" dxfId="30" priority="36" operator="equal">
      <formula>0</formula>
    </cfRule>
  </conditionalFormatting>
  <conditionalFormatting sqref="L26:N26">
    <cfRule type="cellIs" dxfId="29" priority="35" operator="equal">
      <formula>0</formula>
    </cfRule>
  </conditionalFormatting>
  <conditionalFormatting sqref="W26">
    <cfRule type="cellIs" dxfId="28" priority="34" operator="equal">
      <formula>0</formula>
    </cfRule>
  </conditionalFormatting>
  <conditionalFormatting sqref="J27:J28 L27:L28 R27:R28">
    <cfRule type="expression" dxfId="27" priority="33">
      <formula>OR($AU$79=2,$AU$79&gt;3)</formula>
    </cfRule>
  </conditionalFormatting>
  <conditionalFormatting sqref="J26 L26 R26">
    <cfRule type="expression" dxfId="26" priority="32">
      <formula>$AU$79&lt;4</formula>
    </cfRule>
  </conditionalFormatting>
  <conditionalFormatting sqref="N27:N28 W27:W28">
    <cfRule type="expression" dxfId="25" priority="31">
      <formula>OR($AV$79=2,$AV$79&gt;3)</formula>
    </cfRule>
  </conditionalFormatting>
  <conditionalFormatting sqref="N26 W26">
    <cfRule type="expression" dxfId="24" priority="30">
      <formula>$AV$79&lt;4</formula>
    </cfRule>
  </conditionalFormatting>
  <conditionalFormatting sqref="P26:Q26">
    <cfRule type="cellIs" dxfId="23" priority="29" operator="equal">
      <formula>0</formula>
    </cfRule>
  </conditionalFormatting>
  <conditionalFormatting sqref="R26:T26">
    <cfRule type="cellIs" dxfId="22" priority="28" operator="equal">
      <formula>0</formula>
    </cfRule>
  </conditionalFormatting>
  <conditionalFormatting sqref="P27:P28">
    <cfRule type="expression" dxfId="21" priority="27">
      <formula>OR($AU$79=2,$AU$79&gt;3)</formula>
    </cfRule>
  </conditionalFormatting>
  <conditionalFormatting sqref="P26">
    <cfRule type="expression" dxfId="20" priority="26">
      <formula>$AU$79&lt;4</formula>
    </cfRule>
  </conditionalFormatting>
  <conditionalFormatting sqref="T27:T28">
    <cfRule type="expression" dxfId="19" priority="25">
      <formula>OR($AV$79=2,$AV$79&gt;3)</formula>
    </cfRule>
  </conditionalFormatting>
  <conditionalFormatting sqref="T26">
    <cfRule type="expression" dxfId="18" priority="24">
      <formula>$AV$79&lt;4</formula>
    </cfRule>
  </conditionalFormatting>
  <conditionalFormatting sqref="V26">
    <cfRule type="cellIs" dxfId="17" priority="23" operator="equal">
      <formula>0</formula>
    </cfRule>
  </conditionalFormatting>
  <conditionalFormatting sqref="V27:V28">
    <cfRule type="expression" dxfId="16" priority="22">
      <formula>OR($AU$79=2,$AU$79&gt;3)</formula>
    </cfRule>
  </conditionalFormatting>
  <conditionalFormatting sqref="V26">
    <cfRule type="expression" dxfId="15" priority="21">
      <formula>$AV$79&lt;4</formula>
    </cfRule>
  </conditionalFormatting>
  <conditionalFormatting sqref="X26">
    <cfRule type="cellIs" dxfId="14" priority="20" operator="equal">
      <formula>0</formula>
    </cfRule>
  </conditionalFormatting>
  <conditionalFormatting sqref="X27:X28">
    <cfRule type="expression" dxfId="13" priority="19">
      <formula>OR($AV$79=2,$AV$79&gt;3)</formula>
    </cfRule>
  </conditionalFormatting>
  <conditionalFormatting sqref="X26">
    <cfRule type="expression" dxfId="12" priority="18">
      <formula>$AV$79&lt;4</formula>
    </cfRule>
  </conditionalFormatting>
  <conditionalFormatting sqref="AA26">
    <cfRule type="cellIs" dxfId="11" priority="17" operator="equal">
      <formula>0</formula>
    </cfRule>
  </conditionalFormatting>
  <conditionalFormatting sqref="AA27:AA28">
    <cfRule type="expression" dxfId="10" priority="16">
      <formula>OR($AV$79=2,$AV$79&gt;3)</formula>
    </cfRule>
  </conditionalFormatting>
  <conditionalFormatting sqref="AA26">
    <cfRule type="expression" dxfId="9" priority="15">
      <formula>$AV$79&lt;4</formula>
    </cfRule>
  </conditionalFormatting>
  <conditionalFormatting sqref="Z26">
    <cfRule type="cellIs" dxfId="8" priority="14" operator="equal">
      <formula>0</formula>
    </cfRule>
  </conditionalFormatting>
  <conditionalFormatting sqref="Z26">
    <cfRule type="expression" dxfId="7" priority="12">
      <formula>$AV$79&lt;4</formula>
    </cfRule>
  </conditionalFormatting>
  <conditionalFormatting sqref="AB26">
    <cfRule type="cellIs" dxfId="6" priority="11" operator="equal">
      <formula>0</formula>
    </cfRule>
  </conditionalFormatting>
  <conditionalFormatting sqref="AB27:AB28">
    <cfRule type="expression" dxfId="5" priority="10">
      <formula>OR($AV$79=2,$AV$79&gt;3)</formula>
    </cfRule>
  </conditionalFormatting>
  <conditionalFormatting sqref="AB26">
    <cfRule type="expression" dxfId="4" priority="9">
      <formula>$AV$79&lt;4</formula>
    </cfRule>
  </conditionalFormatting>
  <conditionalFormatting sqref="J50 L50 N50">
    <cfRule type="iconSet" priority="8">
      <iconSet iconSet="3TrafficLights2">
        <cfvo type="percent" val="0"/>
        <cfvo type="percent" val="33"/>
        <cfvo type="percent" val="67"/>
      </iconSet>
    </cfRule>
  </conditionalFormatting>
  <conditionalFormatting sqref="P50 R50 T50">
    <cfRule type="iconSet" priority="7">
      <iconSet iconSet="3TrafficLights2">
        <cfvo type="percent" val="0"/>
        <cfvo type="percent" val="33"/>
        <cfvo type="percent" val="67"/>
      </iconSet>
    </cfRule>
  </conditionalFormatting>
  <conditionalFormatting sqref="V50 X50">
    <cfRule type="iconSet" priority="6">
      <iconSet iconSet="3TrafficLights2">
        <cfvo type="percent" val="0"/>
        <cfvo type="percent" val="33"/>
        <cfvo type="percent" val="67"/>
      </iconSet>
    </cfRule>
  </conditionalFormatting>
  <conditionalFormatting sqref="Z50 AB50">
    <cfRule type="iconSet" priority="5">
      <iconSet iconSet="3TrafficLights2">
        <cfvo type="percent" val="0"/>
        <cfvo type="percent" val="33"/>
        <cfvo type="percent" val="67"/>
      </iconSet>
    </cfRule>
  </conditionalFormatting>
  <conditionalFormatting sqref="Z27:Z28">
    <cfRule type="expression" dxfId="3" priority="4">
      <formula>OR($AV$79=2,$AV$79&gt;3)</formula>
    </cfRule>
  </conditionalFormatting>
  <conditionalFormatting sqref="H21">
    <cfRule type="expression" dxfId="2" priority="3">
      <formula>OR($AV$79&lt;3,$AV$79&gt;3)</formula>
    </cfRule>
  </conditionalFormatting>
  <conditionalFormatting sqref="AB39">
    <cfRule type="cellIs" dxfId="1" priority="2" operator="equal">
      <formula>0</formula>
    </cfRule>
  </conditionalFormatting>
  <conditionalFormatting sqref="AB39">
    <cfRule type="expression" dxfId="0" priority="1">
      <formula>$AV$79&lt;4</formula>
    </cfRule>
  </conditionalFormatting>
  <dataValidations count="5">
    <dataValidation type="list" allowBlank="1" showInputMessage="1" showErrorMessage="1" sqref="E19 H19">
      <formula1>$BA$83:$BA$87</formula1>
    </dataValidation>
    <dataValidation type="list" allowBlank="1" showInputMessage="1" showErrorMessage="1" sqref="F23:H23">
      <formula1>$AX$83:$AX$100</formula1>
    </dataValidation>
    <dataValidation type="list" allowBlank="1" showInputMessage="1" showErrorMessage="1" sqref="F21:H21">
      <formula1>$AU$83:$AU$123</formula1>
    </dataValidation>
    <dataValidation type="list" allowBlank="1" showInputMessage="1" showErrorMessage="1" sqref="H87">
      <formula1>$AU$70:$AU$72</formula1>
    </dataValidation>
    <dataValidation allowBlank="1" showInputMessage="1" showErrorMessage="1" prompt="The futures price is used to estimate crop revenue insurance payments." sqref="F10:H10"/>
  </dataValidations>
  <pageMargins left="0.45" right="0.51" top="0.53" bottom="0.5" header="0.5" footer="0.5"/>
  <pageSetup scale="69" orientation="landscape" r:id="rId1"/>
  <headerFooter alignWithMargins="0"/>
  <ignoredErrors>
    <ignoredError sqref="AB15 AB39 F16:G16 AB19:AB2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RMAData!$A$3:$A$117</xm:f>
          </x14:formula1>
          <xm:sqref>D6:G6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T141"/>
  <sheetViews>
    <sheetView workbookViewId="0">
      <selection activeCell="L5" sqref="L5"/>
    </sheetView>
  </sheetViews>
  <sheetFormatPr defaultRowHeight="12.75"/>
  <cols>
    <col min="1" max="1" width="17.85546875" bestFit="1" customWidth="1"/>
    <col min="2" max="2" width="27.5703125" customWidth="1"/>
    <col min="3" max="3" width="13.85546875" customWidth="1"/>
    <col min="4" max="4" width="14.42578125" customWidth="1"/>
    <col min="5" max="5" width="13" customWidth="1"/>
    <col min="6" max="6" width="14.7109375" customWidth="1"/>
    <col min="11" max="11" width="15" customWidth="1"/>
    <col min="14" max="14" width="9.140625" bestFit="1" customWidth="1"/>
    <col min="15" max="15" width="15.140625" customWidth="1"/>
    <col min="16" max="16" width="14.140625" customWidth="1"/>
    <col min="17" max="17" width="13.7109375" customWidth="1"/>
    <col min="18" max="18" width="15.5703125" customWidth="1"/>
  </cols>
  <sheetData>
    <row r="1" spans="1:20">
      <c r="O1" s="1" t="s">
        <v>250</v>
      </c>
    </row>
    <row r="2" spans="1:20" ht="38.25">
      <c r="A2" s="194" t="s">
        <v>41</v>
      </c>
      <c r="B2" s="195" t="s">
        <v>167</v>
      </c>
      <c r="C2" s="194" t="s">
        <v>157</v>
      </c>
      <c r="D2" s="194" t="s">
        <v>158</v>
      </c>
      <c r="E2" s="194" t="s">
        <v>201</v>
      </c>
      <c r="F2" s="194" t="s">
        <v>202</v>
      </c>
      <c r="G2" s="193"/>
      <c r="H2" s="193"/>
      <c r="O2" s="194" t="s">
        <v>157</v>
      </c>
      <c r="P2" s="194" t="s">
        <v>158</v>
      </c>
      <c r="Q2" s="194" t="s">
        <v>201</v>
      </c>
      <c r="R2" s="194" t="s">
        <v>202</v>
      </c>
    </row>
    <row r="3" spans="1:20" ht="15">
      <c r="A3" t="s">
        <v>42</v>
      </c>
      <c r="B3" s="32" t="s">
        <v>38</v>
      </c>
      <c r="C3" s="199">
        <f t="shared" ref="C3:C19" ca="1" si="0">DATE(YEAR(O3)+$L$5,MONTH(O3),DAY(O3))</f>
        <v>43616</v>
      </c>
      <c r="D3" s="199">
        <f t="shared" ref="D3:F3" ca="1" si="1">DATE(YEAR(P3)+$L$5,MONTH(P3),DAY(P3))</f>
        <v>43636</v>
      </c>
      <c r="E3" s="199">
        <f t="shared" ca="1" si="1"/>
        <v>43560</v>
      </c>
      <c r="F3" s="199">
        <f t="shared" ca="1" si="1"/>
        <v>43575</v>
      </c>
      <c r="K3" s="1" t="s">
        <v>247</v>
      </c>
      <c r="L3">
        <v>2012</v>
      </c>
      <c r="N3" s="199"/>
      <c r="O3" s="28">
        <v>41060</v>
      </c>
      <c r="P3" s="28">
        <v>41080</v>
      </c>
      <c r="Q3" s="178">
        <v>41004</v>
      </c>
      <c r="R3" s="178">
        <v>41019</v>
      </c>
      <c r="T3" s="28"/>
    </row>
    <row r="4" spans="1:20" ht="15">
      <c r="A4" t="s">
        <v>43</v>
      </c>
      <c r="B4" s="32" t="s">
        <v>38</v>
      </c>
      <c r="C4" s="199">
        <f t="shared" ca="1" si="0"/>
        <v>43610</v>
      </c>
      <c r="D4" s="199">
        <f t="shared" ref="D4:D16" ca="1" si="2">DATE(YEAR(P4)+$L$5,MONTH(P4),DAY(P4))</f>
        <v>43631</v>
      </c>
      <c r="E4" s="199">
        <f t="shared" ref="E4:E16" ca="1" si="3">DATE(YEAR(Q4)+$L$5,MONTH(Q4),DAY(Q4))</f>
        <v>43560</v>
      </c>
      <c r="F4" s="199">
        <f t="shared" ref="F4:F16" ca="1" si="4">DATE(YEAR(R4)+$L$5,MONTH(R4),DAY(R4))</f>
        <v>43575</v>
      </c>
      <c r="K4" s="1" t="s">
        <v>248</v>
      </c>
      <c r="L4">
        <f ca="1">YEAR(NOW())</f>
        <v>2019</v>
      </c>
      <c r="O4" s="28">
        <v>41054</v>
      </c>
      <c r="P4" s="28">
        <v>41075</v>
      </c>
      <c r="Q4" s="178">
        <v>41004</v>
      </c>
      <c r="R4" s="178">
        <v>41019</v>
      </c>
    </row>
    <row r="5" spans="1:20" ht="15">
      <c r="A5" t="s">
        <v>44</v>
      </c>
      <c r="B5" s="32" t="s">
        <v>38</v>
      </c>
      <c r="C5" s="199">
        <f t="shared" ca="1" si="0"/>
        <v>43610</v>
      </c>
      <c r="D5" s="199">
        <f t="shared" ca="1" si="2"/>
        <v>43631</v>
      </c>
      <c r="E5" s="199">
        <f t="shared" ca="1" si="3"/>
        <v>43560</v>
      </c>
      <c r="F5" s="199">
        <f t="shared" ca="1" si="4"/>
        <v>43575</v>
      </c>
      <c r="K5" s="1" t="s">
        <v>249</v>
      </c>
      <c r="L5">
        <f ca="1">L4-L3</f>
        <v>7</v>
      </c>
      <c r="O5" s="28">
        <v>41054</v>
      </c>
      <c r="P5" s="28">
        <v>41075</v>
      </c>
      <c r="Q5" s="178">
        <v>41004</v>
      </c>
      <c r="R5" s="178">
        <v>41019</v>
      </c>
    </row>
    <row r="6" spans="1:20" ht="15">
      <c r="A6" t="s">
        <v>45</v>
      </c>
      <c r="B6" s="32" t="s">
        <v>38</v>
      </c>
      <c r="C6" s="199">
        <f t="shared" ca="1" si="0"/>
        <v>43616</v>
      </c>
      <c r="D6" s="199">
        <f t="shared" ca="1" si="2"/>
        <v>43636</v>
      </c>
      <c r="E6" s="199">
        <f t="shared" ca="1" si="3"/>
        <v>43556</v>
      </c>
      <c r="F6" s="199">
        <f t="shared" ca="1" si="4"/>
        <v>43575</v>
      </c>
      <c r="O6" s="28">
        <v>41060</v>
      </c>
      <c r="P6" s="28">
        <v>41080</v>
      </c>
      <c r="Q6" s="178">
        <v>41000</v>
      </c>
      <c r="R6" s="178">
        <v>41019</v>
      </c>
    </row>
    <row r="7" spans="1:20" ht="15">
      <c r="A7" t="s">
        <v>46</v>
      </c>
      <c r="B7" s="32" t="s">
        <v>39</v>
      </c>
      <c r="C7" s="199">
        <f t="shared" ca="1" si="0"/>
        <v>43600</v>
      </c>
      <c r="D7" s="199">
        <f t="shared" ca="1" si="2"/>
        <v>43646</v>
      </c>
      <c r="E7" s="199">
        <f t="shared" ca="1" si="3"/>
        <v>43544</v>
      </c>
      <c r="F7" s="199">
        <f t="shared" ca="1" si="4"/>
        <v>43580</v>
      </c>
      <c r="O7" s="28">
        <v>41044</v>
      </c>
      <c r="P7" s="28">
        <v>41090</v>
      </c>
      <c r="Q7" s="178">
        <v>40988</v>
      </c>
      <c r="R7" s="178">
        <v>41024</v>
      </c>
    </row>
    <row r="8" spans="1:20" ht="15">
      <c r="A8" t="s">
        <v>47</v>
      </c>
      <c r="B8" s="32" t="s">
        <v>39</v>
      </c>
      <c r="C8" s="199">
        <f t="shared" ca="1" si="0"/>
        <v>43600</v>
      </c>
      <c r="D8" s="199">
        <f t="shared" ca="1" si="2"/>
        <v>43646</v>
      </c>
      <c r="E8" s="199">
        <f t="shared" ca="1" si="3"/>
        <v>43544</v>
      </c>
      <c r="F8" s="199">
        <f t="shared" ca="1" si="4"/>
        <v>43580</v>
      </c>
      <c r="O8" s="28">
        <v>41044</v>
      </c>
      <c r="P8" s="28">
        <v>41090</v>
      </c>
      <c r="Q8" s="178">
        <v>40988</v>
      </c>
      <c r="R8" s="178">
        <v>41024</v>
      </c>
    </row>
    <row r="9" spans="1:20" ht="15">
      <c r="A9" t="s">
        <v>48</v>
      </c>
      <c r="B9" s="32" t="s">
        <v>39</v>
      </c>
      <c r="C9" s="199">
        <f t="shared" ca="1" si="0"/>
        <v>43610</v>
      </c>
      <c r="D9" s="199">
        <f t="shared" ca="1" si="2"/>
        <v>43641</v>
      </c>
      <c r="E9" s="199">
        <f t="shared" ca="1" si="3"/>
        <v>43556</v>
      </c>
      <c r="F9" s="199">
        <f t="shared" ca="1" si="4"/>
        <v>43575</v>
      </c>
      <c r="O9" s="28">
        <v>41054</v>
      </c>
      <c r="P9" s="28">
        <v>41085</v>
      </c>
      <c r="Q9" s="178">
        <v>41000</v>
      </c>
      <c r="R9" s="178">
        <v>41019</v>
      </c>
    </row>
    <row r="10" spans="1:20" ht="15">
      <c r="A10" t="s">
        <v>49</v>
      </c>
      <c r="B10" s="32" t="s">
        <v>39</v>
      </c>
      <c r="C10" s="199">
        <f t="shared" ca="1" si="0"/>
        <v>43610</v>
      </c>
      <c r="D10" s="199">
        <f t="shared" ca="1" si="2"/>
        <v>43636</v>
      </c>
      <c r="E10" s="199">
        <f t="shared" ca="1" si="3"/>
        <v>43556</v>
      </c>
      <c r="F10" s="199">
        <f t="shared" ca="1" si="4"/>
        <v>43575</v>
      </c>
      <c r="O10" s="28">
        <v>41054</v>
      </c>
      <c r="P10" s="28">
        <v>41080</v>
      </c>
      <c r="Q10" s="178">
        <v>41000</v>
      </c>
      <c r="R10" s="178">
        <v>41019</v>
      </c>
    </row>
    <row r="11" spans="1:20" ht="15">
      <c r="A11" t="s">
        <v>50</v>
      </c>
      <c r="B11" s="32" t="s">
        <v>39</v>
      </c>
      <c r="C11" s="199">
        <f t="shared" ca="1" si="0"/>
        <v>43610</v>
      </c>
      <c r="D11" s="199">
        <f t="shared" ca="1" si="2"/>
        <v>43641</v>
      </c>
      <c r="E11" s="199">
        <f t="shared" ca="1" si="3"/>
        <v>43556</v>
      </c>
      <c r="F11" s="199">
        <f t="shared" ca="1" si="4"/>
        <v>43575</v>
      </c>
      <c r="O11" s="28">
        <v>41054</v>
      </c>
      <c r="P11" s="28">
        <v>41085</v>
      </c>
      <c r="Q11" s="178">
        <v>41000</v>
      </c>
      <c r="R11" s="178">
        <v>41019</v>
      </c>
    </row>
    <row r="12" spans="1:20" ht="15">
      <c r="A12" t="s">
        <v>51</v>
      </c>
      <c r="B12" s="32" t="s">
        <v>38</v>
      </c>
      <c r="C12" s="199">
        <f t="shared" ca="1" si="0"/>
        <v>43616</v>
      </c>
      <c r="D12" s="199">
        <f t="shared" ca="1" si="2"/>
        <v>43636</v>
      </c>
      <c r="E12" s="199">
        <f t="shared" ca="1" si="3"/>
        <v>43556</v>
      </c>
      <c r="F12" s="199">
        <f t="shared" ca="1" si="4"/>
        <v>43575</v>
      </c>
      <c r="O12" s="28">
        <v>41060</v>
      </c>
      <c r="P12" s="28">
        <v>41080</v>
      </c>
      <c r="Q12" s="178">
        <v>41000</v>
      </c>
      <c r="R12" s="178">
        <v>41019</v>
      </c>
    </row>
    <row r="13" spans="1:20" ht="15">
      <c r="A13" t="s">
        <v>52</v>
      </c>
      <c r="B13" s="32" t="s">
        <v>38</v>
      </c>
      <c r="C13" s="199">
        <f t="shared" ca="1" si="0"/>
        <v>43610</v>
      </c>
      <c r="D13" s="199">
        <f t="shared" ca="1" si="2"/>
        <v>43631</v>
      </c>
      <c r="E13" s="199">
        <f t="shared" ca="1" si="3"/>
        <v>43560</v>
      </c>
      <c r="F13" s="199">
        <f t="shared" ca="1" si="4"/>
        <v>43575</v>
      </c>
      <c r="O13" s="28">
        <v>41054</v>
      </c>
      <c r="P13" s="28">
        <v>41075</v>
      </c>
      <c r="Q13" s="178">
        <v>41004</v>
      </c>
      <c r="R13" s="178">
        <v>41019</v>
      </c>
    </row>
    <row r="14" spans="1:20" ht="15">
      <c r="A14" t="s">
        <v>53</v>
      </c>
      <c r="B14" s="32" t="s">
        <v>39</v>
      </c>
      <c r="C14" s="199">
        <f t="shared" ca="1" si="0"/>
        <v>43595</v>
      </c>
      <c r="D14" s="199">
        <f t="shared" ca="1" si="2"/>
        <v>43641</v>
      </c>
      <c r="E14" s="199">
        <f t="shared" ca="1" si="3"/>
        <v>43544</v>
      </c>
      <c r="F14" s="199">
        <f t="shared" ca="1" si="4"/>
        <v>43570</v>
      </c>
      <c r="O14" s="28">
        <v>41039</v>
      </c>
      <c r="P14" s="28">
        <v>41085</v>
      </c>
      <c r="Q14" s="178">
        <v>40988</v>
      </c>
      <c r="R14" s="178">
        <v>41014</v>
      </c>
    </row>
    <row r="15" spans="1:20" ht="15">
      <c r="A15" t="s">
        <v>54</v>
      </c>
      <c r="B15" s="32" t="s">
        <v>38</v>
      </c>
      <c r="C15" s="199">
        <f t="shared" ca="1" si="0"/>
        <v>43610</v>
      </c>
      <c r="D15" s="199">
        <f t="shared" ca="1" si="2"/>
        <v>43631</v>
      </c>
      <c r="E15" s="199">
        <f t="shared" ca="1" si="3"/>
        <v>43560</v>
      </c>
      <c r="F15" s="199">
        <f t="shared" ca="1" si="4"/>
        <v>43575</v>
      </c>
      <c r="O15" s="28">
        <v>41054</v>
      </c>
      <c r="P15" s="28">
        <v>41075</v>
      </c>
      <c r="Q15" s="178">
        <v>41004</v>
      </c>
      <c r="R15" s="178">
        <v>41019</v>
      </c>
    </row>
    <row r="16" spans="1:20" ht="15">
      <c r="A16" t="s">
        <v>55</v>
      </c>
      <c r="B16" s="32" t="s">
        <v>38</v>
      </c>
      <c r="C16" s="199">
        <f t="shared" ca="1" si="0"/>
        <v>43616</v>
      </c>
      <c r="D16" s="199">
        <f t="shared" ca="1" si="2"/>
        <v>43636</v>
      </c>
      <c r="E16" s="199">
        <f t="shared" ca="1" si="3"/>
        <v>43556</v>
      </c>
      <c r="F16" s="199">
        <f t="shared" ca="1" si="4"/>
        <v>43575</v>
      </c>
      <c r="O16" s="28">
        <v>41060</v>
      </c>
      <c r="P16" s="28">
        <v>41080</v>
      </c>
      <c r="Q16" s="178">
        <v>41000</v>
      </c>
      <c r="R16" s="178">
        <v>41019</v>
      </c>
    </row>
    <row r="17" spans="1:18" ht="15">
      <c r="A17" t="s">
        <v>56</v>
      </c>
      <c r="B17" s="32" t="s">
        <v>38</v>
      </c>
      <c r="C17" s="199">
        <f t="shared" ca="1" si="0"/>
        <v>43610</v>
      </c>
      <c r="D17" s="28"/>
      <c r="E17" s="199">
        <f ca="1">DATE(YEAR(Q17)+$L$5,MONTH(Q17),DAY(Q17))</f>
        <v>43556</v>
      </c>
      <c r="F17" s="177"/>
      <c r="O17" s="28">
        <v>41054</v>
      </c>
      <c r="P17" s="28"/>
      <c r="Q17" s="178">
        <v>41000</v>
      </c>
      <c r="R17" s="177"/>
    </row>
    <row r="18" spans="1:18" ht="15">
      <c r="A18" t="s">
        <v>57</v>
      </c>
      <c r="B18" s="32" t="s">
        <v>39</v>
      </c>
      <c r="C18" s="199">
        <f t="shared" ca="1" si="0"/>
        <v>43610</v>
      </c>
      <c r="D18" s="199">
        <f t="shared" ref="D18:D19" ca="1" si="5">DATE(YEAR(P18)+$L$5,MONTH(P18),DAY(P18))</f>
        <v>43641</v>
      </c>
      <c r="E18" s="199">
        <f t="shared" ref="E18:E19" ca="1" si="6">DATE(YEAR(Q18)+$L$5,MONTH(Q18),DAY(Q18))</f>
        <v>43556</v>
      </c>
      <c r="F18" s="199">
        <f t="shared" ref="F18:F19" ca="1" si="7">DATE(YEAR(R18)+$L$5,MONTH(R18),DAY(R18))</f>
        <v>43570</v>
      </c>
      <c r="O18" s="28">
        <v>41054</v>
      </c>
      <c r="P18" s="28">
        <v>41085</v>
      </c>
      <c r="Q18" s="178">
        <v>41000</v>
      </c>
      <c r="R18" s="178">
        <v>41014</v>
      </c>
    </row>
    <row r="19" spans="1:18" ht="15">
      <c r="A19" t="s">
        <v>58</v>
      </c>
      <c r="B19" s="32" t="s">
        <v>38</v>
      </c>
      <c r="C19" s="199">
        <f t="shared" ca="1" si="0"/>
        <v>43610</v>
      </c>
      <c r="D19" s="199">
        <f t="shared" ca="1" si="5"/>
        <v>43636</v>
      </c>
      <c r="E19" s="199">
        <f t="shared" ca="1" si="6"/>
        <v>43556</v>
      </c>
      <c r="F19" s="199">
        <f t="shared" ca="1" si="7"/>
        <v>43575</v>
      </c>
      <c r="O19" s="28">
        <v>41054</v>
      </c>
      <c r="P19" s="28">
        <v>41080</v>
      </c>
      <c r="Q19" s="178">
        <v>41000</v>
      </c>
      <c r="R19" s="178">
        <v>41019</v>
      </c>
    </row>
    <row r="20" spans="1:18" ht="15">
      <c r="A20" t="s">
        <v>59</v>
      </c>
      <c r="B20" s="32" t="s">
        <v>39</v>
      </c>
      <c r="C20" s="199"/>
      <c r="D20" s="28"/>
      <c r="E20" s="176"/>
      <c r="F20" s="177"/>
      <c r="O20" s="28"/>
      <c r="P20" s="28"/>
      <c r="Q20" s="178"/>
      <c r="R20" s="177"/>
    </row>
    <row r="21" spans="1:18" ht="15">
      <c r="A21" t="s">
        <v>60</v>
      </c>
      <c r="B21" s="32" t="s">
        <v>38</v>
      </c>
      <c r="C21" s="199">
        <f t="shared" ref="C21:C35" ca="1" si="8">DATE(YEAR(O21)+$L$5,MONTH(O21),DAY(O21))</f>
        <v>43610</v>
      </c>
      <c r="D21" s="199">
        <f t="shared" ref="D21:D23" ca="1" si="9">DATE(YEAR(P21)+$L$5,MONTH(P21),DAY(P21))</f>
        <v>43641</v>
      </c>
      <c r="E21" s="199">
        <f t="shared" ref="E21:E35" ca="1" si="10">DATE(YEAR(Q21)+$L$5,MONTH(Q21),DAY(Q21))</f>
        <v>43556</v>
      </c>
      <c r="F21" s="199">
        <f t="shared" ref="F21:F23" ca="1" si="11">DATE(YEAR(R21)+$L$5,MONTH(R21),DAY(R21))</f>
        <v>43575</v>
      </c>
      <c r="O21" s="28">
        <v>41054</v>
      </c>
      <c r="P21" s="28">
        <v>41085</v>
      </c>
      <c r="Q21" s="178">
        <v>41000</v>
      </c>
      <c r="R21" s="178">
        <v>41019</v>
      </c>
    </row>
    <row r="22" spans="1:18" ht="15">
      <c r="A22" t="s">
        <v>61</v>
      </c>
      <c r="B22" s="32" t="s">
        <v>39</v>
      </c>
      <c r="C22" s="199">
        <f t="shared" ca="1" si="8"/>
        <v>43610</v>
      </c>
      <c r="D22" s="199">
        <f t="shared" ca="1" si="9"/>
        <v>43641</v>
      </c>
      <c r="E22" s="199">
        <f t="shared" ca="1" si="10"/>
        <v>43556</v>
      </c>
      <c r="F22" s="199">
        <f t="shared" ca="1" si="11"/>
        <v>43575</v>
      </c>
      <c r="O22" s="28">
        <v>41054</v>
      </c>
      <c r="P22" s="28">
        <v>41085</v>
      </c>
      <c r="Q22" s="178">
        <v>41000</v>
      </c>
      <c r="R22" s="178">
        <v>41019</v>
      </c>
    </row>
    <row r="23" spans="1:18" ht="15">
      <c r="A23" t="s">
        <v>62</v>
      </c>
      <c r="B23" s="32" t="s">
        <v>38</v>
      </c>
      <c r="C23" s="199">
        <f t="shared" ca="1" si="8"/>
        <v>43610</v>
      </c>
      <c r="D23" s="199">
        <f t="shared" ca="1" si="9"/>
        <v>43636</v>
      </c>
      <c r="E23" s="199">
        <f t="shared" ca="1" si="10"/>
        <v>43556</v>
      </c>
      <c r="F23" s="199">
        <f t="shared" ca="1" si="11"/>
        <v>43575</v>
      </c>
      <c r="O23" s="28">
        <v>41054</v>
      </c>
      <c r="P23" s="28">
        <v>41080</v>
      </c>
      <c r="Q23" s="178">
        <v>41000</v>
      </c>
      <c r="R23" s="178">
        <v>41019</v>
      </c>
    </row>
    <row r="24" spans="1:18" ht="15">
      <c r="A24" t="s">
        <v>63</v>
      </c>
      <c r="B24" s="32" t="s">
        <v>39</v>
      </c>
      <c r="C24" s="199">
        <f t="shared" ca="1" si="8"/>
        <v>43600</v>
      </c>
      <c r="D24" s="28"/>
      <c r="E24" s="199">
        <f t="shared" ca="1" si="10"/>
        <v>43544</v>
      </c>
      <c r="F24" s="177"/>
      <c r="O24" s="28">
        <v>41044</v>
      </c>
      <c r="P24" s="28"/>
      <c r="Q24" s="178">
        <v>40988</v>
      </c>
      <c r="R24" s="177"/>
    </row>
    <row r="25" spans="1:18" ht="15">
      <c r="A25" t="s">
        <v>64</v>
      </c>
      <c r="B25" s="32" t="s">
        <v>38</v>
      </c>
      <c r="C25" s="199">
        <f t="shared" ca="1" si="8"/>
        <v>43616</v>
      </c>
      <c r="D25" s="199">
        <f t="shared" ref="D25:D31" ca="1" si="12">DATE(YEAR(P25)+$L$5,MONTH(P25),DAY(P25))</f>
        <v>43636</v>
      </c>
      <c r="E25" s="199">
        <f t="shared" ca="1" si="10"/>
        <v>43560</v>
      </c>
      <c r="F25" s="199">
        <f t="shared" ref="F25:F31" ca="1" si="13">DATE(YEAR(R25)+$L$5,MONTH(R25),DAY(R25))</f>
        <v>43575</v>
      </c>
      <c r="O25" s="28">
        <v>41060</v>
      </c>
      <c r="P25" s="28">
        <v>41080</v>
      </c>
      <c r="Q25" s="178">
        <v>41004</v>
      </c>
      <c r="R25" s="178">
        <v>41019</v>
      </c>
    </row>
    <row r="26" spans="1:18" ht="15">
      <c r="A26" t="s">
        <v>65</v>
      </c>
      <c r="B26" s="32" t="s">
        <v>38</v>
      </c>
      <c r="C26" s="199">
        <f t="shared" ca="1" si="8"/>
        <v>43610</v>
      </c>
      <c r="D26" s="199">
        <f t="shared" ca="1" si="12"/>
        <v>43631</v>
      </c>
      <c r="E26" s="199">
        <f t="shared" ca="1" si="10"/>
        <v>43556</v>
      </c>
      <c r="F26" s="199">
        <f t="shared" ca="1" si="13"/>
        <v>43575</v>
      </c>
      <c r="O26" s="28">
        <v>41054</v>
      </c>
      <c r="P26" s="28">
        <v>41075</v>
      </c>
      <c r="Q26" s="178">
        <v>41000</v>
      </c>
      <c r="R26" s="178">
        <v>41019</v>
      </c>
    </row>
    <row r="27" spans="1:18" ht="15">
      <c r="A27" t="s">
        <v>66</v>
      </c>
      <c r="B27" s="32" t="s">
        <v>38</v>
      </c>
      <c r="C27" s="199">
        <f t="shared" ca="1" si="8"/>
        <v>43610</v>
      </c>
      <c r="D27" s="199">
        <f t="shared" ca="1" si="12"/>
        <v>43631</v>
      </c>
      <c r="E27" s="199">
        <f t="shared" ca="1" si="10"/>
        <v>43560</v>
      </c>
      <c r="F27" s="199">
        <f t="shared" ca="1" si="13"/>
        <v>43575</v>
      </c>
      <c r="O27" s="28">
        <v>41054</v>
      </c>
      <c r="P27" s="28">
        <v>41075</v>
      </c>
      <c r="Q27" s="178">
        <v>41004</v>
      </c>
      <c r="R27" s="178">
        <v>41019</v>
      </c>
    </row>
    <row r="28" spans="1:18" ht="15">
      <c r="A28" t="s">
        <v>67</v>
      </c>
      <c r="B28" s="32" t="s">
        <v>38</v>
      </c>
      <c r="C28" s="199">
        <f t="shared" ca="1" si="8"/>
        <v>43616</v>
      </c>
      <c r="D28" s="199">
        <f t="shared" ca="1" si="12"/>
        <v>43636</v>
      </c>
      <c r="E28" s="199">
        <f t="shared" ca="1" si="10"/>
        <v>43556</v>
      </c>
      <c r="F28" s="199">
        <f t="shared" ca="1" si="13"/>
        <v>43575</v>
      </c>
      <c r="O28" s="28">
        <v>41060</v>
      </c>
      <c r="P28" s="28">
        <v>41080</v>
      </c>
      <c r="Q28" s="178">
        <v>41000</v>
      </c>
      <c r="R28" s="178">
        <v>41019</v>
      </c>
    </row>
    <row r="29" spans="1:18" ht="15">
      <c r="A29" t="s">
        <v>68</v>
      </c>
      <c r="B29" s="32" t="s">
        <v>38</v>
      </c>
      <c r="C29" s="199">
        <f t="shared" ca="1" si="8"/>
        <v>43610</v>
      </c>
      <c r="D29" s="199">
        <f t="shared" ca="1" si="12"/>
        <v>43636</v>
      </c>
      <c r="E29" s="199">
        <f t="shared" ca="1" si="10"/>
        <v>43556</v>
      </c>
      <c r="F29" s="199">
        <f t="shared" ca="1" si="13"/>
        <v>43575</v>
      </c>
      <c r="O29" s="28">
        <v>41054</v>
      </c>
      <c r="P29" s="28">
        <v>41080</v>
      </c>
      <c r="Q29" s="178">
        <v>41000</v>
      </c>
      <c r="R29" s="178">
        <v>41019</v>
      </c>
    </row>
    <row r="30" spans="1:18" ht="15">
      <c r="A30" t="s">
        <v>69</v>
      </c>
      <c r="B30" s="32" t="s">
        <v>39</v>
      </c>
      <c r="C30" s="199">
        <f t="shared" ca="1" si="8"/>
        <v>43610</v>
      </c>
      <c r="D30" s="199">
        <f t="shared" ca="1" si="12"/>
        <v>43636</v>
      </c>
      <c r="E30" s="199">
        <f t="shared" ca="1" si="10"/>
        <v>43556</v>
      </c>
      <c r="F30" s="199">
        <f t="shared" ca="1" si="13"/>
        <v>43575</v>
      </c>
      <c r="O30" s="28">
        <v>41054</v>
      </c>
      <c r="P30" s="28">
        <v>41080</v>
      </c>
      <c r="Q30" s="178">
        <v>41000</v>
      </c>
      <c r="R30" s="178">
        <v>41019</v>
      </c>
    </row>
    <row r="31" spans="1:18" ht="15">
      <c r="A31" t="s">
        <v>70</v>
      </c>
      <c r="B31" s="32" t="s">
        <v>39</v>
      </c>
      <c r="C31" s="199">
        <f t="shared" ca="1" si="8"/>
        <v>43600</v>
      </c>
      <c r="D31" s="199">
        <f t="shared" ca="1" si="12"/>
        <v>43646</v>
      </c>
      <c r="E31" s="199">
        <f t="shared" ca="1" si="10"/>
        <v>43544</v>
      </c>
      <c r="F31" s="199">
        <f t="shared" ca="1" si="13"/>
        <v>43580</v>
      </c>
      <c r="O31" s="28">
        <v>41044</v>
      </c>
      <c r="P31" s="28">
        <v>41090</v>
      </c>
      <c r="Q31" s="178">
        <v>40988</v>
      </c>
      <c r="R31" s="178">
        <v>41024</v>
      </c>
    </row>
    <row r="32" spans="1:18" ht="15">
      <c r="A32" t="s">
        <v>71</v>
      </c>
      <c r="B32" s="32" t="s">
        <v>39</v>
      </c>
      <c r="C32" s="199">
        <f t="shared" ca="1" si="8"/>
        <v>43610</v>
      </c>
      <c r="D32" s="28"/>
      <c r="E32" s="199">
        <f t="shared" ca="1" si="10"/>
        <v>43556</v>
      </c>
      <c r="F32" s="177"/>
      <c r="O32" s="28">
        <v>41054</v>
      </c>
      <c r="P32" s="28"/>
      <c r="Q32" s="178">
        <v>41000</v>
      </c>
      <c r="R32" s="177"/>
    </row>
    <row r="33" spans="1:18" ht="15">
      <c r="A33" t="s">
        <v>72</v>
      </c>
      <c r="B33" s="32" t="s">
        <v>38</v>
      </c>
      <c r="C33" s="199">
        <f t="shared" ca="1" si="8"/>
        <v>43610</v>
      </c>
      <c r="D33" s="199">
        <f t="shared" ref="D33:D34" ca="1" si="14">DATE(YEAR(P33)+$L$5,MONTH(P33),DAY(P33))</f>
        <v>43631</v>
      </c>
      <c r="E33" s="199">
        <f t="shared" ca="1" si="10"/>
        <v>43560</v>
      </c>
      <c r="F33" s="199">
        <f t="shared" ref="F33:F34" ca="1" si="15">DATE(YEAR(R33)+$L$5,MONTH(R33),DAY(R33))</f>
        <v>43575</v>
      </c>
      <c r="O33" s="28">
        <v>41054</v>
      </c>
      <c r="P33" s="28">
        <v>41075</v>
      </c>
      <c r="Q33" s="178">
        <v>41004</v>
      </c>
      <c r="R33" s="178">
        <v>41019</v>
      </c>
    </row>
    <row r="34" spans="1:18" ht="15">
      <c r="A34" t="s">
        <v>73</v>
      </c>
      <c r="B34" s="32" t="s">
        <v>38</v>
      </c>
      <c r="C34" s="199">
        <f t="shared" ca="1" si="8"/>
        <v>43610</v>
      </c>
      <c r="D34" s="199">
        <f t="shared" ca="1" si="14"/>
        <v>43631</v>
      </c>
      <c r="E34" s="199">
        <f t="shared" ca="1" si="10"/>
        <v>43560</v>
      </c>
      <c r="F34" s="199">
        <f t="shared" ca="1" si="15"/>
        <v>43575</v>
      </c>
      <c r="O34" s="28">
        <v>41054</v>
      </c>
      <c r="P34" s="28">
        <v>41075</v>
      </c>
      <c r="Q34" s="178">
        <v>41004</v>
      </c>
      <c r="R34" s="178">
        <v>41019</v>
      </c>
    </row>
    <row r="35" spans="1:18" ht="15">
      <c r="A35" t="s">
        <v>74</v>
      </c>
      <c r="B35" s="32" t="s">
        <v>39</v>
      </c>
      <c r="C35" s="199">
        <f t="shared" ca="1" si="8"/>
        <v>43610</v>
      </c>
      <c r="D35" s="28"/>
      <c r="E35" s="199">
        <f t="shared" ca="1" si="10"/>
        <v>43556</v>
      </c>
      <c r="F35" s="177"/>
      <c r="O35" s="28">
        <v>41054</v>
      </c>
      <c r="P35" s="28"/>
      <c r="Q35" s="178">
        <v>41000</v>
      </c>
      <c r="R35" s="177"/>
    </row>
    <row r="36" spans="1:18" ht="15">
      <c r="A36" t="s">
        <v>75</v>
      </c>
      <c r="B36" s="32" t="s">
        <v>39</v>
      </c>
      <c r="C36" s="28"/>
      <c r="D36" s="28"/>
      <c r="E36" s="176"/>
      <c r="F36" s="177"/>
      <c r="O36" s="28"/>
      <c r="P36" s="28"/>
      <c r="Q36" s="178"/>
      <c r="R36" s="177"/>
    </row>
    <row r="37" spans="1:18" ht="15">
      <c r="A37" t="s">
        <v>76</v>
      </c>
      <c r="B37" s="32" t="s">
        <v>39</v>
      </c>
      <c r="C37" s="199">
        <f t="shared" ref="C37:C47" ca="1" si="16">DATE(YEAR(O37)+$L$5,MONTH(O37),DAY(O37))</f>
        <v>43595</v>
      </c>
      <c r="D37" s="199">
        <f t="shared" ref="D37:D47" ca="1" si="17">DATE(YEAR(P37)+$L$5,MONTH(P37),DAY(P37))</f>
        <v>43641</v>
      </c>
      <c r="E37" s="199">
        <f t="shared" ref="E37:E47" ca="1" si="18">DATE(YEAR(Q37)+$L$5,MONTH(Q37),DAY(Q37))</f>
        <v>43544</v>
      </c>
      <c r="F37" s="199">
        <f t="shared" ref="F37:F47" ca="1" si="19">DATE(YEAR(R37)+$L$5,MONTH(R37),DAY(R37))</f>
        <v>43570</v>
      </c>
      <c r="O37" s="28">
        <v>41039</v>
      </c>
      <c r="P37" s="28">
        <v>41085</v>
      </c>
      <c r="Q37" s="178">
        <v>40988</v>
      </c>
      <c r="R37" s="178">
        <v>41014</v>
      </c>
    </row>
    <row r="38" spans="1:18" ht="15">
      <c r="A38" t="s">
        <v>77</v>
      </c>
      <c r="B38" s="32" t="s">
        <v>38</v>
      </c>
      <c r="C38" s="199">
        <f t="shared" ca="1" si="16"/>
        <v>43616</v>
      </c>
      <c r="D38" s="199">
        <f t="shared" ca="1" si="17"/>
        <v>43636</v>
      </c>
      <c r="E38" s="199">
        <f t="shared" ca="1" si="18"/>
        <v>43556</v>
      </c>
      <c r="F38" s="199">
        <f t="shared" ca="1" si="19"/>
        <v>43575</v>
      </c>
      <c r="O38" s="28">
        <v>41060</v>
      </c>
      <c r="P38" s="28">
        <v>41080</v>
      </c>
      <c r="Q38" s="178">
        <v>41000</v>
      </c>
      <c r="R38" s="178">
        <v>41019</v>
      </c>
    </row>
    <row r="39" spans="1:18" ht="15">
      <c r="A39" t="s">
        <v>78</v>
      </c>
      <c r="B39" s="32" t="s">
        <v>38</v>
      </c>
      <c r="C39" s="199">
        <f t="shared" ca="1" si="16"/>
        <v>43616</v>
      </c>
      <c r="D39" s="199">
        <f t="shared" ca="1" si="17"/>
        <v>43636</v>
      </c>
      <c r="E39" s="199">
        <f t="shared" ca="1" si="18"/>
        <v>43556</v>
      </c>
      <c r="F39" s="199">
        <f t="shared" ca="1" si="19"/>
        <v>43575</v>
      </c>
      <c r="O39" s="28">
        <v>41060</v>
      </c>
      <c r="P39" s="28">
        <v>41080</v>
      </c>
      <c r="Q39" s="178">
        <v>41000</v>
      </c>
      <c r="R39" s="178">
        <v>41019</v>
      </c>
    </row>
    <row r="40" spans="1:18" ht="15">
      <c r="A40" t="s">
        <v>79</v>
      </c>
      <c r="B40" s="32" t="s">
        <v>38</v>
      </c>
      <c r="C40" s="199">
        <f t="shared" ca="1" si="16"/>
        <v>43610</v>
      </c>
      <c r="D40" s="199">
        <f t="shared" ca="1" si="17"/>
        <v>43631</v>
      </c>
      <c r="E40" s="199">
        <f t="shared" ca="1" si="18"/>
        <v>43560</v>
      </c>
      <c r="F40" s="199">
        <f t="shared" ca="1" si="19"/>
        <v>43575</v>
      </c>
      <c r="O40" s="28">
        <v>41054</v>
      </c>
      <c r="P40" s="28">
        <v>41075</v>
      </c>
      <c r="Q40" s="178">
        <v>41004</v>
      </c>
      <c r="R40" s="178">
        <v>41019</v>
      </c>
    </row>
    <row r="41" spans="1:18" ht="15">
      <c r="A41" t="s">
        <v>80</v>
      </c>
      <c r="B41" s="32" t="s">
        <v>39</v>
      </c>
      <c r="C41" s="199">
        <f t="shared" ca="1" si="16"/>
        <v>43600</v>
      </c>
      <c r="D41" s="199">
        <f t="shared" ca="1" si="17"/>
        <v>43646</v>
      </c>
      <c r="E41" s="199">
        <f t="shared" ca="1" si="18"/>
        <v>43544</v>
      </c>
      <c r="F41" s="199">
        <f t="shared" ca="1" si="19"/>
        <v>43580</v>
      </c>
      <c r="O41" s="28">
        <v>41044</v>
      </c>
      <c r="P41" s="28">
        <v>41090</v>
      </c>
      <c r="Q41" s="178">
        <v>40988</v>
      </c>
      <c r="R41" s="178">
        <v>41024</v>
      </c>
    </row>
    <row r="42" spans="1:18" ht="15">
      <c r="A42" t="s">
        <v>81</v>
      </c>
      <c r="B42" s="32" t="s">
        <v>38</v>
      </c>
      <c r="C42" s="199">
        <f t="shared" ca="1" si="16"/>
        <v>43610</v>
      </c>
      <c r="D42" s="199">
        <f t="shared" ca="1" si="17"/>
        <v>43636</v>
      </c>
      <c r="E42" s="199">
        <f t="shared" ca="1" si="18"/>
        <v>43560</v>
      </c>
      <c r="F42" s="199">
        <f t="shared" ca="1" si="19"/>
        <v>43575</v>
      </c>
      <c r="O42" s="28">
        <v>41054</v>
      </c>
      <c r="P42" s="28">
        <v>41080</v>
      </c>
      <c r="Q42" s="178">
        <v>41004</v>
      </c>
      <c r="R42" s="178">
        <v>41019</v>
      </c>
    </row>
    <row r="43" spans="1:18" ht="15">
      <c r="A43" t="s">
        <v>82</v>
      </c>
      <c r="B43" s="32" t="s">
        <v>38</v>
      </c>
      <c r="C43" s="199">
        <f t="shared" ca="1" si="16"/>
        <v>43610</v>
      </c>
      <c r="D43" s="199">
        <f t="shared" ca="1" si="17"/>
        <v>43631</v>
      </c>
      <c r="E43" s="199">
        <f t="shared" ca="1" si="18"/>
        <v>43560</v>
      </c>
      <c r="F43" s="199">
        <f t="shared" ca="1" si="19"/>
        <v>43575</v>
      </c>
      <c r="O43" s="28">
        <v>41054</v>
      </c>
      <c r="P43" s="28">
        <v>41075</v>
      </c>
      <c r="Q43" s="178">
        <v>41004</v>
      </c>
      <c r="R43" s="178">
        <v>41019</v>
      </c>
    </row>
    <row r="44" spans="1:18" ht="15">
      <c r="A44" t="s">
        <v>83</v>
      </c>
      <c r="B44" s="32" t="s">
        <v>38</v>
      </c>
      <c r="C44" s="199">
        <f t="shared" ca="1" si="16"/>
        <v>43610</v>
      </c>
      <c r="D44" s="199">
        <f t="shared" ca="1" si="17"/>
        <v>43641</v>
      </c>
      <c r="E44" s="199">
        <f t="shared" ca="1" si="18"/>
        <v>43556</v>
      </c>
      <c r="F44" s="199">
        <f t="shared" ca="1" si="19"/>
        <v>43575</v>
      </c>
      <c r="O44" s="28">
        <v>41054</v>
      </c>
      <c r="P44" s="28">
        <v>41085</v>
      </c>
      <c r="Q44" s="178">
        <v>41000</v>
      </c>
      <c r="R44" s="178">
        <v>41019</v>
      </c>
    </row>
    <row r="45" spans="1:18" ht="15">
      <c r="A45" t="s">
        <v>84</v>
      </c>
      <c r="B45" s="32" t="s">
        <v>39</v>
      </c>
      <c r="C45" s="199">
        <f t="shared" ca="1" si="16"/>
        <v>43610</v>
      </c>
      <c r="D45" s="199">
        <f t="shared" ca="1" si="17"/>
        <v>43636</v>
      </c>
      <c r="E45" s="199">
        <f t="shared" ca="1" si="18"/>
        <v>43556</v>
      </c>
      <c r="F45" s="199">
        <f t="shared" ca="1" si="19"/>
        <v>43575</v>
      </c>
      <c r="O45" s="28">
        <v>41054</v>
      </c>
      <c r="P45" s="28">
        <v>41080</v>
      </c>
      <c r="Q45" s="178">
        <v>41000</v>
      </c>
      <c r="R45" s="178">
        <v>41019</v>
      </c>
    </row>
    <row r="46" spans="1:18" ht="15">
      <c r="A46" t="s">
        <v>85</v>
      </c>
      <c r="B46" s="32" t="s">
        <v>38</v>
      </c>
      <c r="C46" s="199">
        <f t="shared" ca="1" si="16"/>
        <v>43610</v>
      </c>
      <c r="D46" s="199">
        <f t="shared" ca="1" si="17"/>
        <v>43631</v>
      </c>
      <c r="E46" s="199">
        <f t="shared" ca="1" si="18"/>
        <v>43560</v>
      </c>
      <c r="F46" s="199">
        <f t="shared" ca="1" si="19"/>
        <v>43575</v>
      </c>
      <c r="O46" s="28">
        <v>41054</v>
      </c>
      <c r="P46" s="28">
        <v>41075</v>
      </c>
      <c r="Q46" s="178">
        <v>41004</v>
      </c>
      <c r="R46" s="178">
        <v>41019</v>
      </c>
    </row>
    <row r="47" spans="1:18" ht="15">
      <c r="A47" t="s">
        <v>86</v>
      </c>
      <c r="B47" s="32" t="s">
        <v>38</v>
      </c>
      <c r="C47" s="199">
        <f t="shared" ca="1" si="16"/>
        <v>43610</v>
      </c>
      <c r="D47" s="199">
        <f t="shared" ca="1" si="17"/>
        <v>43636</v>
      </c>
      <c r="E47" s="199">
        <f t="shared" ca="1" si="18"/>
        <v>43556</v>
      </c>
      <c r="F47" s="199">
        <f t="shared" ca="1" si="19"/>
        <v>43575</v>
      </c>
      <c r="O47" s="28">
        <v>41054</v>
      </c>
      <c r="P47" s="28">
        <v>41080</v>
      </c>
      <c r="Q47" s="178">
        <v>41000</v>
      </c>
      <c r="R47" s="178">
        <v>41019</v>
      </c>
    </row>
    <row r="48" spans="1:18" ht="15">
      <c r="A48" t="s">
        <v>87</v>
      </c>
      <c r="B48" s="32" t="s">
        <v>39</v>
      </c>
      <c r="C48" s="28"/>
      <c r="D48" s="28"/>
      <c r="E48" s="176"/>
      <c r="F48" s="177"/>
      <c r="O48" s="28"/>
      <c r="P48" s="28"/>
      <c r="Q48" s="178"/>
      <c r="R48" s="177"/>
    </row>
    <row r="49" spans="1:18" ht="15">
      <c r="A49" t="s">
        <v>88</v>
      </c>
      <c r="B49" s="32" t="s">
        <v>39</v>
      </c>
      <c r="C49" s="28"/>
      <c r="D49" s="28"/>
      <c r="E49" s="176"/>
      <c r="F49" s="177"/>
      <c r="O49" s="28"/>
      <c r="P49" s="28"/>
      <c r="Q49" s="178"/>
      <c r="R49" s="177"/>
    </row>
    <row r="50" spans="1:18" ht="15">
      <c r="A50" t="s">
        <v>89</v>
      </c>
      <c r="B50" s="32" t="s">
        <v>38</v>
      </c>
      <c r="C50" s="199">
        <f t="shared" ref="C50:C65" ca="1" si="20">DATE(YEAR(O50)+$L$5,MONTH(O50),DAY(O50))</f>
        <v>43610</v>
      </c>
      <c r="D50" s="199">
        <f t="shared" ref="D50:D65" ca="1" si="21">DATE(YEAR(P50)+$L$5,MONTH(P50),DAY(P50))</f>
        <v>43641</v>
      </c>
      <c r="E50" s="199">
        <f t="shared" ref="E50:E65" ca="1" si="22">DATE(YEAR(Q50)+$L$5,MONTH(Q50),DAY(Q50))</f>
        <v>43556</v>
      </c>
      <c r="F50" s="199">
        <f t="shared" ref="F50:F65" ca="1" si="23">DATE(YEAR(R50)+$L$5,MONTH(R50),DAY(R50))</f>
        <v>43575</v>
      </c>
      <c r="O50" s="28">
        <v>41054</v>
      </c>
      <c r="P50" s="28">
        <v>41085</v>
      </c>
      <c r="Q50" s="178">
        <v>41000</v>
      </c>
      <c r="R50" s="178">
        <v>41019</v>
      </c>
    </row>
    <row r="51" spans="1:18" ht="15">
      <c r="A51" t="s">
        <v>90</v>
      </c>
      <c r="B51" s="32" t="s">
        <v>39</v>
      </c>
      <c r="C51" s="199">
        <f t="shared" ca="1" si="20"/>
        <v>43600</v>
      </c>
      <c r="D51" s="199">
        <f t="shared" ca="1" si="21"/>
        <v>43646</v>
      </c>
      <c r="E51" s="199">
        <f t="shared" ca="1" si="22"/>
        <v>43544</v>
      </c>
      <c r="F51" s="199">
        <f t="shared" ca="1" si="23"/>
        <v>43580</v>
      </c>
      <c r="O51" s="28">
        <v>41044</v>
      </c>
      <c r="P51" s="28">
        <v>41090</v>
      </c>
      <c r="Q51" s="178">
        <v>40988</v>
      </c>
      <c r="R51" s="178">
        <v>41024</v>
      </c>
    </row>
    <row r="52" spans="1:18" ht="15">
      <c r="A52" t="s">
        <v>91</v>
      </c>
      <c r="B52" s="32" t="s">
        <v>38</v>
      </c>
      <c r="C52" s="199">
        <f t="shared" ca="1" si="20"/>
        <v>43616</v>
      </c>
      <c r="D52" s="199">
        <f t="shared" ca="1" si="21"/>
        <v>43636</v>
      </c>
      <c r="E52" s="199">
        <f t="shared" ca="1" si="22"/>
        <v>43556</v>
      </c>
      <c r="F52" s="199">
        <f t="shared" ca="1" si="23"/>
        <v>43575</v>
      </c>
      <c r="O52" s="28">
        <v>41060</v>
      </c>
      <c r="P52" s="28">
        <v>41080</v>
      </c>
      <c r="Q52" s="178">
        <v>41000</v>
      </c>
      <c r="R52" s="178">
        <v>41019</v>
      </c>
    </row>
    <row r="53" spans="1:18" ht="15">
      <c r="A53" t="s">
        <v>92</v>
      </c>
      <c r="B53" s="32" t="s">
        <v>38</v>
      </c>
      <c r="C53" s="199">
        <f t="shared" ca="1" si="20"/>
        <v>43610</v>
      </c>
      <c r="D53" s="199">
        <f t="shared" ca="1" si="21"/>
        <v>43641</v>
      </c>
      <c r="E53" s="199">
        <f t="shared" ca="1" si="22"/>
        <v>43556</v>
      </c>
      <c r="F53" s="199">
        <f t="shared" ca="1" si="23"/>
        <v>43575</v>
      </c>
      <c r="O53" s="28">
        <v>41054</v>
      </c>
      <c r="P53" s="28">
        <v>41085</v>
      </c>
      <c r="Q53" s="178">
        <v>41000</v>
      </c>
      <c r="R53" s="178">
        <v>41019</v>
      </c>
    </row>
    <row r="54" spans="1:18" ht="15">
      <c r="A54" t="s">
        <v>93</v>
      </c>
      <c r="B54" s="32" t="s">
        <v>38</v>
      </c>
      <c r="C54" s="199">
        <f t="shared" ca="1" si="20"/>
        <v>43616</v>
      </c>
      <c r="D54" s="199">
        <f t="shared" ca="1" si="21"/>
        <v>43636</v>
      </c>
      <c r="E54" s="199">
        <f t="shared" ca="1" si="22"/>
        <v>43560</v>
      </c>
      <c r="F54" s="199">
        <f t="shared" ca="1" si="23"/>
        <v>43575</v>
      </c>
      <c r="O54" s="28">
        <v>41060</v>
      </c>
      <c r="P54" s="28">
        <v>41080</v>
      </c>
      <c r="Q54" s="178">
        <v>41004</v>
      </c>
      <c r="R54" s="178">
        <v>41019</v>
      </c>
    </row>
    <row r="55" spans="1:18" ht="15">
      <c r="A55" t="s">
        <v>94</v>
      </c>
      <c r="B55" s="32" t="s">
        <v>39</v>
      </c>
      <c r="C55" s="199">
        <f t="shared" ca="1" si="20"/>
        <v>43610</v>
      </c>
      <c r="D55" s="199">
        <f t="shared" ca="1" si="21"/>
        <v>43636</v>
      </c>
      <c r="E55" s="199">
        <f t="shared" ca="1" si="22"/>
        <v>43556</v>
      </c>
      <c r="F55" s="199">
        <f t="shared" ca="1" si="23"/>
        <v>43575</v>
      </c>
      <c r="O55" s="28">
        <v>41054</v>
      </c>
      <c r="P55" s="28">
        <v>41080</v>
      </c>
      <c r="Q55" s="178">
        <v>41000</v>
      </c>
      <c r="R55" s="178">
        <v>41019</v>
      </c>
    </row>
    <row r="56" spans="1:18" ht="15">
      <c r="A56" t="s">
        <v>95</v>
      </c>
      <c r="B56" s="32" t="s">
        <v>38</v>
      </c>
      <c r="C56" s="199">
        <f t="shared" ca="1" si="20"/>
        <v>43610</v>
      </c>
      <c r="D56" s="199">
        <f t="shared" ca="1" si="21"/>
        <v>43641</v>
      </c>
      <c r="E56" s="199">
        <f t="shared" ca="1" si="22"/>
        <v>43556</v>
      </c>
      <c r="F56" s="199">
        <f t="shared" ca="1" si="23"/>
        <v>43575</v>
      </c>
      <c r="O56" s="28">
        <v>41054</v>
      </c>
      <c r="P56" s="28">
        <v>41085</v>
      </c>
      <c r="Q56" s="178">
        <v>41000</v>
      </c>
      <c r="R56" s="178">
        <v>41019</v>
      </c>
    </row>
    <row r="57" spans="1:18" ht="15">
      <c r="A57" t="s">
        <v>96</v>
      </c>
      <c r="B57" s="32" t="s">
        <v>39</v>
      </c>
      <c r="C57" s="199">
        <f t="shared" ca="1" si="20"/>
        <v>43600</v>
      </c>
      <c r="D57" s="199">
        <f t="shared" ca="1" si="21"/>
        <v>43646</v>
      </c>
      <c r="E57" s="199">
        <f t="shared" ca="1" si="22"/>
        <v>43544</v>
      </c>
      <c r="F57" s="199">
        <f t="shared" ca="1" si="23"/>
        <v>43580</v>
      </c>
      <c r="O57" s="28">
        <v>41044</v>
      </c>
      <c r="P57" s="28">
        <v>41090</v>
      </c>
      <c r="Q57" s="178">
        <v>40988</v>
      </c>
      <c r="R57" s="178">
        <v>41024</v>
      </c>
    </row>
    <row r="58" spans="1:18" ht="15">
      <c r="A58" t="s">
        <v>97</v>
      </c>
      <c r="B58" s="32" t="s">
        <v>38</v>
      </c>
      <c r="C58" s="199">
        <f t="shared" ca="1" si="20"/>
        <v>43616</v>
      </c>
      <c r="D58" s="199">
        <f t="shared" ca="1" si="21"/>
        <v>43636</v>
      </c>
      <c r="E58" s="199">
        <f t="shared" ca="1" si="22"/>
        <v>43560</v>
      </c>
      <c r="F58" s="199">
        <f t="shared" ca="1" si="23"/>
        <v>43575</v>
      </c>
      <c r="O58" s="28">
        <v>41060</v>
      </c>
      <c r="P58" s="28">
        <v>41080</v>
      </c>
      <c r="Q58" s="178">
        <v>41004</v>
      </c>
      <c r="R58" s="178">
        <v>41019</v>
      </c>
    </row>
    <row r="59" spans="1:18" ht="15">
      <c r="A59" t="s">
        <v>98</v>
      </c>
      <c r="B59" s="32" t="s">
        <v>38</v>
      </c>
      <c r="C59" s="199">
        <f t="shared" ca="1" si="20"/>
        <v>43616</v>
      </c>
      <c r="D59" s="199">
        <f t="shared" ca="1" si="21"/>
        <v>43636</v>
      </c>
      <c r="E59" s="199">
        <f t="shared" ca="1" si="22"/>
        <v>43556</v>
      </c>
      <c r="F59" s="199">
        <f t="shared" ca="1" si="23"/>
        <v>43575</v>
      </c>
      <c r="O59" s="28">
        <v>41060</v>
      </c>
      <c r="P59" s="28">
        <v>41080</v>
      </c>
      <c r="Q59" s="178">
        <v>41000</v>
      </c>
      <c r="R59" s="178">
        <v>41019</v>
      </c>
    </row>
    <row r="60" spans="1:18" ht="15">
      <c r="A60" t="s">
        <v>99</v>
      </c>
      <c r="B60" s="32" t="s">
        <v>38</v>
      </c>
      <c r="C60" s="199">
        <f t="shared" ca="1" si="20"/>
        <v>43616</v>
      </c>
      <c r="D60" s="199">
        <f t="shared" ca="1" si="21"/>
        <v>43636</v>
      </c>
      <c r="E60" s="199">
        <f t="shared" ca="1" si="22"/>
        <v>43560</v>
      </c>
      <c r="F60" s="199">
        <f t="shared" ca="1" si="23"/>
        <v>43575</v>
      </c>
      <c r="O60" s="28">
        <v>41060</v>
      </c>
      <c r="P60" s="28">
        <v>41080</v>
      </c>
      <c r="Q60" s="178">
        <v>41004</v>
      </c>
      <c r="R60" s="178">
        <v>41019</v>
      </c>
    </row>
    <row r="61" spans="1:18" ht="15">
      <c r="A61" t="s">
        <v>100</v>
      </c>
      <c r="B61" s="32" t="s">
        <v>38</v>
      </c>
      <c r="C61" s="199">
        <f t="shared" ca="1" si="20"/>
        <v>43610</v>
      </c>
      <c r="D61" s="199">
        <f t="shared" ca="1" si="21"/>
        <v>43636</v>
      </c>
      <c r="E61" s="199">
        <f t="shared" ca="1" si="22"/>
        <v>43560</v>
      </c>
      <c r="F61" s="199">
        <f t="shared" ca="1" si="23"/>
        <v>43575</v>
      </c>
      <c r="O61" s="28">
        <v>41054</v>
      </c>
      <c r="P61" s="28">
        <v>41080</v>
      </c>
      <c r="Q61" s="178">
        <v>41004</v>
      </c>
      <c r="R61" s="178">
        <v>41019</v>
      </c>
    </row>
    <row r="62" spans="1:18" ht="15">
      <c r="A62" t="s">
        <v>101</v>
      </c>
      <c r="B62" s="32" t="s">
        <v>38</v>
      </c>
      <c r="C62" s="199">
        <f t="shared" ca="1" si="20"/>
        <v>43616</v>
      </c>
      <c r="D62" s="199">
        <f t="shared" ca="1" si="21"/>
        <v>43636</v>
      </c>
      <c r="E62" s="199">
        <f t="shared" ca="1" si="22"/>
        <v>43560</v>
      </c>
      <c r="F62" s="199">
        <f t="shared" ca="1" si="23"/>
        <v>43575</v>
      </c>
      <c r="O62" s="28">
        <v>41060</v>
      </c>
      <c r="P62" s="28">
        <v>41080</v>
      </c>
      <c r="Q62" s="178">
        <v>41004</v>
      </c>
      <c r="R62" s="178">
        <v>41019</v>
      </c>
    </row>
    <row r="63" spans="1:18" ht="15">
      <c r="A63" t="s">
        <v>102</v>
      </c>
      <c r="B63" s="32" t="s">
        <v>39</v>
      </c>
      <c r="C63" s="199">
        <f t="shared" ca="1" si="20"/>
        <v>43610</v>
      </c>
      <c r="D63" s="199">
        <f t="shared" ca="1" si="21"/>
        <v>43641</v>
      </c>
      <c r="E63" s="199">
        <f t="shared" ca="1" si="22"/>
        <v>43556</v>
      </c>
      <c r="F63" s="199">
        <f t="shared" ca="1" si="23"/>
        <v>43575</v>
      </c>
      <c r="O63" s="28">
        <v>41054</v>
      </c>
      <c r="P63" s="28">
        <v>41085</v>
      </c>
      <c r="Q63" s="178">
        <v>41000</v>
      </c>
      <c r="R63" s="178">
        <v>41019</v>
      </c>
    </row>
    <row r="64" spans="1:18" ht="15">
      <c r="A64" t="s">
        <v>103</v>
      </c>
      <c r="B64" s="32" t="s">
        <v>38</v>
      </c>
      <c r="C64" s="199">
        <f t="shared" ca="1" si="20"/>
        <v>43610</v>
      </c>
      <c r="D64" s="199">
        <f t="shared" ca="1" si="21"/>
        <v>43636</v>
      </c>
      <c r="E64" s="199">
        <f t="shared" ca="1" si="22"/>
        <v>43556</v>
      </c>
      <c r="F64" s="199">
        <f t="shared" ca="1" si="23"/>
        <v>43575</v>
      </c>
      <c r="O64" s="28">
        <v>41054</v>
      </c>
      <c r="P64" s="28">
        <v>41080</v>
      </c>
      <c r="Q64" s="178">
        <v>41000</v>
      </c>
      <c r="R64" s="178">
        <v>41019</v>
      </c>
    </row>
    <row r="65" spans="1:18" ht="15">
      <c r="A65" t="s">
        <v>104</v>
      </c>
      <c r="B65" s="32" t="s">
        <v>38</v>
      </c>
      <c r="C65" s="199">
        <f t="shared" ca="1" si="20"/>
        <v>43616</v>
      </c>
      <c r="D65" s="199">
        <f t="shared" ca="1" si="21"/>
        <v>43636</v>
      </c>
      <c r="E65" s="199">
        <f t="shared" ca="1" si="22"/>
        <v>43560</v>
      </c>
      <c r="F65" s="199">
        <f t="shared" ca="1" si="23"/>
        <v>43575</v>
      </c>
      <c r="O65" s="28">
        <v>41060</v>
      </c>
      <c r="P65" s="28">
        <v>41080</v>
      </c>
      <c r="Q65" s="178">
        <v>41004</v>
      </c>
      <c r="R65" s="178">
        <v>41019</v>
      </c>
    </row>
    <row r="66" spans="1:18" ht="15">
      <c r="A66" t="s">
        <v>105</v>
      </c>
      <c r="B66" s="32" t="s">
        <v>39</v>
      </c>
      <c r="C66" s="199">
        <f t="shared" ref="C66:C76" ca="1" si="24">DATE(YEAR(O66)+$L$5,MONTH(O66),DAY(O66))</f>
        <v>43600</v>
      </c>
      <c r="D66" s="28"/>
      <c r="E66" s="199">
        <f t="shared" ref="E66:E76" ca="1" si="25">DATE(YEAR(Q66)+$L$5,MONTH(Q66),DAY(Q66))</f>
        <v>43544</v>
      </c>
      <c r="F66" s="177"/>
      <c r="O66" s="28">
        <v>41044</v>
      </c>
      <c r="P66" s="28"/>
      <c r="Q66" s="178">
        <v>40988</v>
      </c>
      <c r="R66" s="177"/>
    </row>
    <row r="67" spans="1:18" ht="15">
      <c r="A67" t="s">
        <v>106</v>
      </c>
      <c r="B67" s="32" t="s">
        <v>38</v>
      </c>
      <c r="C67" s="199">
        <f t="shared" ca="1" si="24"/>
        <v>43610</v>
      </c>
      <c r="D67" s="199">
        <f t="shared" ref="D67:D76" ca="1" si="26">DATE(YEAR(P67)+$L$5,MONTH(P67),DAY(P67))</f>
        <v>43636</v>
      </c>
      <c r="E67" s="199">
        <f t="shared" ca="1" si="25"/>
        <v>43560</v>
      </c>
      <c r="F67" s="199">
        <f t="shared" ref="F67:F76" ca="1" si="27">DATE(YEAR(R67)+$L$5,MONTH(R67),DAY(R67))</f>
        <v>43575</v>
      </c>
      <c r="O67" s="28">
        <v>41054</v>
      </c>
      <c r="P67" s="28">
        <v>41080</v>
      </c>
      <c r="Q67" s="178">
        <v>41004</v>
      </c>
      <c r="R67" s="178">
        <v>41019</v>
      </c>
    </row>
    <row r="68" spans="1:18" ht="15">
      <c r="A68" t="s">
        <v>107</v>
      </c>
      <c r="B68" s="32" t="s">
        <v>38</v>
      </c>
      <c r="C68" s="199">
        <f t="shared" ca="1" si="24"/>
        <v>43610</v>
      </c>
      <c r="D68" s="199">
        <f t="shared" ca="1" si="26"/>
        <v>43636</v>
      </c>
      <c r="E68" s="199">
        <f t="shared" ca="1" si="25"/>
        <v>43556</v>
      </c>
      <c r="F68" s="199">
        <f t="shared" ca="1" si="27"/>
        <v>43575</v>
      </c>
      <c r="O68" s="28">
        <v>41054</v>
      </c>
      <c r="P68" s="28">
        <v>41080</v>
      </c>
      <c r="Q68" s="178">
        <v>41000</v>
      </c>
      <c r="R68" s="178">
        <v>41019</v>
      </c>
    </row>
    <row r="69" spans="1:18" ht="15">
      <c r="A69" t="s">
        <v>108</v>
      </c>
      <c r="B69" s="32" t="s">
        <v>39</v>
      </c>
      <c r="C69" s="199">
        <f t="shared" ca="1" si="24"/>
        <v>43595</v>
      </c>
      <c r="D69" s="199">
        <f t="shared" ca="1" si="26"/>
        <v>43641</v>
      </c>
      <c r="E69" s="199">
        <f t="shared" ca="1" si="25"/>
        <v>43544</v>
      </c>
      <c r="F69" s="199">
        <f t="shared" ca="1" si="27"/>
        <v>43570</v>
      </c>
      <c r="O69" s="28">
        <v>41039</v>
      </c>
      <c r="P69" s="28">
        <v>41085</v>
      </c>
      <c r="Q69" s="178">
        <v>40988</v>
      </c>
      <c r="R69" s="178">
        <v>41014</v>
      </c>
    </row>
    <row r="70" spans="1:18" ht="15">
      <c r="A70" t="s">
        <v>109</v>
      </c>
      <c r="B70" s="32" t="s">
        <v>38</v>
      </c>
      <c r="C70" s="199">
        <f t="shared" ca="1" si="24"/>
        <v>43616</v>
      </c>
      <c r="D70" s="199">
        <f t="shared" ca="1" si="26"/>
        <v>43636</v>
      </c>
      <c r="E70" s="199">
        <f t="shared" ca="1" si="25"/>
        <v>43556</v>
      </c>
      <c r="F70" s="199">
        <f t="shared" ca="1" si="27"/>
        <v>43575</v>
      </c>
      <c r="O70" s="28">
        <v>41060</v>
      </c>
      <c r="P70" s="28">
        <v>41080</v>
      </c>
      <c r="Q70" s="178">
        <v>41000</v>
      </c>
      <c r="R70" s="178">
        <v>41019</v>
      </c>
    </row>
    <row r="71" spans="1:18" ht="15">
      <c r="A71" t="s">
        <v>110</v>
      </c>
      <c r="B71" s="32" t="s">
        <v>38</v>
      </c>
      <c r="C71" s="199">
        <f t="shared" ca="1" si="24"/>
        <v>43616</v>
      </c>
      <c r="D71" s="199">
        <f t="shared" ca="1" si="26"/>
        <v>43636</v>
      </c>
      <c r="E71" s="199">
        <f t="shared" ca="1" si="25"/>
        <v>43556</v>
      </c>
      <c r="F71" s="199">
        <f t="shared" ca="1" si="27"/>
        <v>43575</v>
      </c>
      <c r="O71" s="28">
        <v>41060</v>
      </c>
      <c r="P71" s="28">
        <v>41080</v>
      </c>
      <c r="Q71" s="178">
        <v>41000</v>
      </c>
      <c r="R71" s="178">
        <v>41019</v>
      </c>
    </row>
    <row r="72" spans="1:18" ht="15">
      <c r="A72" t="s">
        <v>111</v>
      </c>
      <c r="B72" s="32" t="s">
        <v>38</v>
      </c>
      <c r="C72" s="199">
        <f t="shared" ca="1" si="24"/>
        <v>43616</v>
      </c>
      <c r="D72" s="199">
        <f t="shared" ca="1" si="26"/>
        <v>43636</v>
      </c>
      <c r="E72" s="199">
        <f t="shared" ca="1" si="25"/>
        <v>43556</v>
      </c>
      <c r="F72" s="199">
        <f t="shared" ca="1" si="27"/>
        <v>43575</v>
      </c>
      <c r="O72" s="28">
        <v>41060</v>
      </c>
      <c r="P72" s="28">
        <v>41080</v>
      </c>
      <c r="Q72" s="178">
        <v>41000</v>
      </c>
      <c r="R72" s="178">
        <v>41019</v>
      </c>
    </row>
    <row r="73" spans="1:18" ht="15">
      <c r="A73" t="s">
        <v>112</v>
      </c>
      <c r="B73" s="32" t="s">
        <v>38</v>
      </c>
      <c r="C73" s="199">
        <f t="shared" ca="1" si="24"/>
        <v>43610</v>
      </c>
      <c r="D73" s="199">
        <f t="shared" ca="1" si="26"/>
        <v>43636</v>
      </c>
      <c r="E73" s="199">
        <f t="shared" ca="1" si="25"/>
        <v>43556</v>
      </c>
      <c r="F73" s="199">
        <f t="shared" ca="1" si="27"/>
        <v>43575</v>
      </c>
      <c r="O73" s="28">
        <v>41054</v>
      </c>
      <c r="P73" s="28">
        <v>41080</v>
      </c>
      <c r="Q73" s="178">
        <v>41000</v>
      </c>
      <c r="R73" s="178">
        <v>41019</v>
      </c>
    </row>
    <row r="74" spans="1:18" ht="15">
      <c r="A74" t="s">
        <v>113</v>
      </c>
      <c r="B74" s="32" t="s">
        <v>39</v>
      </c>
      <c r="C74" s="199">
        <f t="shared" ca="1" si="24"/>
        <v>43595</v>
      </c>
      <c r="D74" s="199">
        <f t="shared" ca="1" si="26"/>
        <v>43641</v>
      </c>
      <c r="E74" s="199">
        <f t="shared" ca="1" si="25"/>
        <v>43544</v>
      </c>
      <c r="F74" s="199">
        <f t="shared" ca="1" si="27"/>
        <v>43570</v>
      </c>
      <c r="O74" s="28">
        <v>41039</v>
      </c>
      <c r="P74" s="28">
        <v>41085</v>
      </c>
      <c r="Q74" s="178">
        <v>40988</v>
      </c>
      <c r="R74" s="178">
        <v>41014</v>
      </c>
    </row>
    <row r="75" spans="1:18" ht="15">
      <c r="A75" t="s">
        <v>114</v>
      </c>
      <c r="B75" s="32" t="s">
        <v>39</v>
      </c>
      <c r="C75" s="199">
        <f t="shared" ca="1" si="24"/>
        <v>43600</v>
      </c>
      <c r="D75" s="199">
        <f t="shared" ca="1" si="26"/>
        <v>43646</v>
      </c>
      <c r="E75" s="199">
        <f t="shared" ca="1" si="25"/>
        <v>43544</v>
      </c>
      <c r="F75" s="199">
        <f t="shared" ca="1" si="27"/>
        <v>43580</v>
      </c>
      <c r="O75" s="28">
        <v>41044</v>
      </c>
      <c r="P75" s="28">
        <v>41090</v>
      </c>
      <c r="Q75" s="178">
        <v>40988</v>
      </c>
      <c r="R75" s="178">
        <v>41024</v>
      </c>
    </row>
    <row r="76" spans="1:18" ht="15">
      <c r="A76" t="s">
        <v>115</v>
      </c>
      <c r="B76" s="32" t="s">
        <v>38</v>
      </c>
      <c r="C76" s="199">
        <f t="shared" ca="1" si="24"/>
        <v>43610</v>
      </c>
      <c r="D76" s="199">
        <f t="shared" ca="1" si="26"/>
        <v>43631</v>
      </c>
      <c r="E76" s="199">
        <f t="shared" ca="1" si="25"/>
        <v>43560</v>
      </c>
      <c r="F76" s="199">
        <f t="shared" ca="1" si="27"/>
        <v>43575</v>
      </c>
      <c r="O76" s="28">
        <v>41054</v>
      </c>
      <c r="P76" s="28">
        <v>41075</v>
      </c>
      <c r="Q76" s="178">
        <v>41004</v>
      </c>
      <c r="R76" s="178">
        <v>41019</v>
      </c>
    </row>
    <row r="77" spans="1:18" ht="15">
      <c r="A77" t="s">
        <v>116</v>
      </c>
      <c r="B77" s="32" t="s">
        <v>39</v>
      </c>
      <c r="C77" s="28"/>
      <c r="D77" s="28"/>
      <c r="E77" s="176"/>
      <c r="F77" s="177"/>
      <c r="O77" s="28"/>
      <c r="P77" s="28"/>
      <c r="Q77" s="178"/>
      <c r="R77" s="177"/>
    </row>
    <row r="78" spans="1:18" ht="15">
      <c r="A78" t="s">
        <v>117</v>
      </c>
      <c r="B78" s="32" t="s">
        <v>38</v>
      </c>
      <c r="C78" s="199">
        <f t="shared" ref="C78" ca="1" si="28">DATE(YEAR(O78)+$L$5,MONTH(O78),DAY(O78))</f>
        <v>43616</v>
      </c>
      <c r="D78" s="199">
        <f t="shared" ref="D78" ca="1" si="29">DATE(YEAR(P78)+$L$5,MONTH(P78),DAY(P78))</f>
        <v>43636</v>
      </c>
      <c r="E78" s="199">
        <f t="shared" ref="E78" ca="1" si="30">DATE(YEAR(Q78)+$L$5,MONTH(Q78),DAY(Q78))</f>
        <v>43556</v>
      </c>
      <c r="F78" s="199">
        <f t="shared" ref="F78" ca="1" si="31">DATE(YEAR(R78)+$L$5,MONTH(R78),DAY(R78))</f>
        <v>43575</v>
      </c>
      <c r="O78" s="28">
        <v>41060</v>
      </c>
      <c r="P78" s="28">
        <v>41080</v>
      </c>
      <c r="Q78" s="178">
        <v>41000</v>
      </c>
      <c r="R78" s="178">
        <v>41019</v>
      </c>
    </row>
    <row r="79" spans="1:18" ht="15">
      <c r="A79" t="s">
        <v>118</v>
      </c>
      <c r="B79" s="32" t="s">
        <v>39</v>
      </c>
      <c r="C79" s="28"/>
      <c r="D79" s="28"/>
      <c r="E79" s="176"/>
      <c r="F79" s="177"/>
      <c r="O79" s="28"/>
      <c r="P79" s="28"/>
      <c r="Q79" s="178"/>
      <c r="R79" s="177"/>
    </row>
    <row r="80" spans="1:18" ht="15">
      <c r="A80" t="s">
        <v>119</v>
      </c>
      <c r="B80" s="32" t="s">
        <v>39</v>
      </c>
      <c r="C80" s="199">
        <f t="shared" ref="C80:C91" ca="1" si="32">DATE(YEAR(O80)+$L$5,MONTH(O80),DAY(O80))</f>
        <v>43595</v>
      </c>
      <c r="D80" s="199">
        <f t="shared" ref="D80:D82" ca="1" si="33">DATE(YEAR(P80)+$L$5,MONTH(P80),DAY(P80))</f>
        <v>43641</v>
      </c>
      <c r="E80" s="199">
        <f t="shared" ref="E80:F91" ca="1" si="34">DATE(YEAR(Q80)+$L$5,MONTH(Q80),DAY(Q80))</f>
        <v>43544</v>
      </c>
      <c r="F80" s="199">
        <f t="shared" ref="F80:F82" ca="1" si="35">DATE(YEAR(R80)+$L$5,MONTH(R80),DAY(R80))</f>
        <v>43570</v>
      </c>
      <c r="O80" s="28">
        <v>41039</v>
      </c>
      <c r="P80" s="28">
        <v>41085</v>
      </c>
      <c r="Q80" s="178">
        <v>40988</v>
      </c>
      <c r="R80" s="178">
        <v>41014</v>
      </c>
    </row>
    <row r="81" spans="1:18" ht="15">
      <c r="A81" t="s">
        <v>120</v>
      </c>
      <c r="B81" s="32" t="s">
        <v>39</v>
      </c>
      <c r="C81" s="199">
        <f t="shared" ca="1" si="32"/>
        <v>43610</v>
      </c>
      <c r="D81" s="199">
        <f t="shared" ca="1" si="33"/>
        <v>43636</v>
      </c>
      <c r="E81" s="199">
        <f t="shared" ca="1" si="34"/>
        <v>43556</v>
      </c>
      <c r="F81" s="199">
        <f t="shared" ca="1" si="35"/>
        <v>43570</v>
      </c>
      <c r="O81" s="28">
        <v>41054</v>
      </c>
      <c r="P81" s="28">
        <v>41080</v>
      </c>
      <c r="Q81" s="178">
        <v>41000</v>
      </c>
      <c r="R81" s="178">
        <v>41014</v>
      </c>
    </row>
    <row r="82" spans="1:18" ht="15">
      <c r="A82" t="s">
        <v>121</v>
      </c>
      <c r="B82" s="32" t="s">
        <v>38</v>
      </c>
      <c r="C82" s="199">
        <f t="shared" ca="1" si="32"/>
        <v>43610</v>
      </c>
      <c r="D82" s="199">
        <f t="shared" ca="1" si="33"/>
        <v>43636</v>
      </c>
      <c r="E82" s="199">
        <f t="shared" ca="1" si="34"/>
        <v>43556</v>
      </c>
      <c r="F82" s="199">
        <f t="shared" ca="1" si="35"/>
        <v>43575</v>
      </c>
      <c r="O82" s="28">
        <v>41054</v>
      </c>
      <c r="P82" s="28">
        <v>41080</v>
      </c>
      <c r="Q82" s="178">
        <v>41000</v>
      </c>
      <c r="R82" s="178">
        <v>41019</v>
      </c>
    </row>
    <row r="83" spans="1:18" ht="15">
      <c r="A83" t="s">
        <v>122</v>
      </c>
      <c r="B83" s="32" t="s">
        <v>39</v>
      </c>
      <c r="C83" s="199">
        <f t="shared" ca="1" si="32"/>
        <v>43610</v>
      </c>
      <c r="D83" s="28"/>
      <c r="E83" s="199">
        <f t="shared" ca="1" si="34"/>
        <v>43556</v>
      </c>
      <c r="F83" s="177"/>
      <c r="O83" s="28">
        <v>41054</v>
      </c>
      <c r="P83" s="28"/>
      <c r="Q83" s="178">
        <v>41000</v>
      </c>
      <c r="R83" s="177"/>
    </row>
    <row r="84" spans="1:18" ht="15">
      <c r="A84" t="s">
        <v>123</v>
      </c>
      <c r="B84" s="32" t="s">
        <v>38</v>
      </c>
      <c r="C84" s="199">
        <f t="shared" ca="1" si="32"/>
        <v>43616</v>
      </c>
      <c r="D84" s="199">
        <f ca="1">DATE(YEAR(P84)+$L$5,MONTH(P84),DAY(P84))</f>
        <v>43636</v>
      </c>
      <c r="E84" s="199">
        <f t="shared" ca="1" si="34"/>
        <v>43556</v>
      </c>
      <c r="F84" s="199">
        <f t="shared" ca="1" si="34"/>
        <v>43575</v>
      </c>
      <c r="O84" s="28">
        <v>41060</v>
      </c>
      <c r="P84" s="28">
        <v>41080</v>
      </c>
      <c r="Q84" s="178">
        <v>41000</v>
      </c>
      <c r="R84" s="178">
        <v>41019</v>
      </c>
    </row>
    <row r="85" spans="1:18" ht="15">
      <c r="A85" t="s">
        <v>124</v>
      </c>
      <c r="B85" s="32" t="s">
        <v>38</v>
      </c>
      <c r="C85" s="199">
        <f t="shared" ca="1" si="32"/>
        <v>43610</v>
      </c>
      <c r="D85" s="199">
        <f ca="1">DATE(YEAR(P85)+$L$5,MONTH(P85),DAY(P85))</f>
        <v>43631</v>
      </c>
      <c r="E85" s="199">
        <f t="shared" ca="1" si="34"/>
        <v>43556</v>
      </c>
      <c r="F85" s="199">
        <f t="shared" ca="1" si="34"/>
        <v>43575</v>
      </c>
      <c r="O85" s="28">
        <v>41054</v>
      </c>
      <c r="P85" s="28">
        <v>41075</v>
      </c>
      <c r="Q85" s="178">
        <v>41000</v>
      </c>
      <c r="R85" s="178">
        <v>41019</v>
      </c>
    </row>
    <row r="86" spans="1:18" ht="15">
      <c r="A86" t="s">
        <v>125</v>
      </c>
      <c r="B86" s="32" t="s">
        <v>39</v>
      </c>
      <c r="C86" s="199">
        <f t="shared" ca="1" si="32"/>
        <v>43610</v>
      </c>
      <c r="D86" s="28"/>
      <c r="E86" s="199">
        <f t="shared" ca="1" si="34"/>
        <v>43556</v>
      </c>
      <c r="F86" s="177"/>
      <c r="O86" s="28">
        <v>41054</v>
      </c>
      <c r="P86" s="28"/>
      <c r="Q86" s="178">
        <v>41000</v>
      </c>
      <c r="R86" s="177"/>
    </row>
    <row r="87" spans="1:18" ht="15">
      <c r="A87" t="s">
        <v>126</v>
      </c>
      <c r="B87" s="32" t="s">
        <v>39</v>
      </c>
      <c r="C87" s="199">
        <f t="shared" ca="1" si="32"/>
        <v>43610</v>
      </c>
      <c r="D87" s="28"/>
      <c r="E87" s="199">
        <f t="shared" ca="1" si="34"/>
        <v>43556</v>
      </c>
      <c r="F87" s="177"/>
      <c r="O87" s="28">
        <v>41054</v>
      </c>
      <c r="P87" s="28"/>
      <c r="Q87" s="178">
        <v>41000</v>
      </c>
      <c r="R87" s="177"/>
    </row>
    <row r="88" spans="1:18" ht="15">
      <c r="A88" t="s">
        <v>127</v>
      </c>
      <c r="B88" s="32" t="s">
        <v>38</v>
      </c>
      <c r="C88" s="199">
        <f t="shared" ca="1" si="32"/>
        <v>43616</v>
      </c>
      <c r="D88" s="199">
        <f ca="1">DATE(YEAR(P88)+$L$5,MONTH(P88),DAY(P88))</f>
        <v>43636</v>
      </c>
      <c r="E88" s="199">
        <f t="shared" ca="1" si="34"/>
        <v>43560</v>
      </c>
      <c r="F88" s="199">
        <f t="shared" ca="1" si="34"/>
        <v>43575</v>
      </c>
      <c r="O88" s="28">
        <v>41060</v>
      </c>
      <c r="P88" s="28">
        <v>41080</v>
      </c>
      <c r="Q88" s="178">
        <v>41004</v>
      </c>
      <c r="R88" s="178">
        <v>41019</v>
      </c>
    </row>
    <row r="89" spans="1:18" ht="15">
      <c r="A89" t="s">
        <v>128</v>
      </c>
      <c r="B89" s="32" t="s">
        <v>38</v>
      </c>
      <c r="C89" s="199">
        <f t="shared" ca="1" si="32"/>
        <v>43616</v>
      </c>
      <c r="D89" s="199">
        <f ca="1">DATE(YEAR(P89)+$L$5,MONTH(P89),DAY(P89))</f>
        <v>43636</v>
      </c>
      <c r="E89" s="199">
        <f t="shared" ca="1" si="34"/>
        <v>43556</v>
      </c>
      <c r="F89" s="199">
        <f t="shared" ca="1" si="34"/>
        <v>43575</v>
      </c>
      <c r="O89" s="28">
        <v>41060</v>
      </c>
      <c r="P89" s="28">
        <v>41080</v>
      </c>
      <c r="Q89" s="178">
        <v>41000</v>
      </c>
      <c r="R89" s="178">
        <v>41019</v>
      </c>
    </row>
    <row r="90" spans="1:18" ht="15">
      <c r="A90" t="s">
        <v>129</v>
      </c>
      <c r="B90" s="32" t="s">
        <v>38</v>
      </c>
      <c r="C90" s="199">
        <f t="shared" ca="1" si="32"/>
        <v>43616</v>
      </c>
      <c r="D90" s="199">
        <f ca="1">DATE(YEAR(P90)+$L$5,MONTH(P90),DAY(P90))</f>
        <v>43636</v>
      </c>
      <c r="E90" s="199">
        <f t="shared" ca="1" si="34"/>
        <v>43556</v>
      </c>
      <c r="F90" s="199">
        <f t="shared" ca="1" si="34"/>
        <v>43575</v>
      </c>
      <c r="O90" s="28">
        <v>41060</v>
      </c>
      <c r="P90" s="28">
        <v>41080</v>
      </c>
      <c r="Q90" s="178">
        <v>41000</v>
      </c>
      <c r="R90" s="178">
        <v>41019</v>
      </c>
    </row>
    <row r="91" spans="1:18" ht="15">
      <c r="A91" t="s">
        <v>130</v>
      </c>
      <c r="B91" s="32" t="s">
        <v>38</v>
      </c>
      <c r="C91" s="199">
        <f t="shared" ca="1" si="32"/>
        <v>43610</v>
      </c>
      <c r="D91" s="199">
        <f ca="1">DATE(YEAR(P91)+$L$5,MONTH(P91),DAY(P91))</f>
        <v>43631</v>
      </c>
      <c r="E91" s="199">
        <f t="shared" ca="1" si="34"/>
        <v>43556</v>
      </c>
      <c r="F91" s="199">
        <f t="shared" ca="1" si="34"/>
        <v>43575</v>
      </c>
      <c r="O91" s="28">
        <v>41054</v>
      </c>
      <c r="P91" s="28">
        <v>41075</v>
      </c>
      <c r="Q91" s="178">
        <v>41000</v>
      </c>
      <c r="R91" s="178">
        <v>41019</v>
      </c>
    </row>
    <row r="92" spans="1:18" ht="15">
      <c r="A92" t="s">
        <v>131</v>
      </c>
      <c r="B92" s="32" t="s">
        <v>39</v>
      </c>
      <c r="C92" s="28"/>
      <c r="D92" s="28"/>
      <c r="E92" s="176"/>
      <c r="F92" s="177"/>
      <c r="O92" s="28"/>
      <c r="P92" s="28"/>
      <c r="Q92" s="178"/>
      <c r="R92" s="177"/>
    </row>
    <row r="93" spans="1:18" ht="15">
      <c r="A93" t="s">
        <v>132</v>
      </c>
      <c r="B93" s="32" t="s">
        <v>39</v>
      </c>
      <c r="C93" s="199">
        <f t="shared" ref="C93:C97" ca="1" si="36">DATE(YEAR(O93)+$L$5,MONTH(O93),DAY(O93))</f>
        <v>43595</v>
      </c>
      <c r="D93" s="199">
        <f t="shared" ref="D93:D97" ca="1" si="37">DATE(YEAR(P93)+$L$5,MONTH(P93),DAY(P93))</f>
        <v>43641</v>
      </c>
      <c r="E93" s="199">
        <f t="shared" ref="E93:E97" ca="1" si="38">DATE(YEAR(Q93)+$L$5,MONTH(Q93),DAY(Q93))</f>
        <v>43544</v>
      </c>
      <c r="F93" s="199">
        <f t="shared" ref="F93:F97" ca="1" si="39">DATE(YEAR(R93)+$L$5,MONTH(R93),DAY(R93))</f>
        <v>43570</v>
      </c>
      <c r="O93" s="28">
        <v>41039</v>
      </c>
      <c r="P93" s="28">
        <v>41085</v>
      </c>
      <c r="Q93" s="178">
        <v>40988</v>
      </c>
      <c r="R93" s="178">
        <v>41014</v>
      </c>
    </row>
    <row r="94" spans="1:18" ht="15">
      <c r="A94" t="s">
        <v>133</v>
      </c>
      <c r="B94" s="32" t="s">
        <v>38</v>
      </c>
      <c r="C94" s="199">
        <f t="shared" ca="1" si="36"/>
        <v>43610</v>
      </c>
      <c r="D94" s="199">
        <f t="shared" ca="1" si="37"/>
        <v>43636</v>
      </c>
      <c r="E94" s="199">
        <f t="shared" ca="1" si="38"/>
        <v>43556</v>
      </c>
      <c r="F94" s="199">
        <f t="shared" ca="1" si="39"/>
        <v>43575</v>
      </c>
      <c r="O94" s="28">
        <v>41054</v>
      </c>
      <c r="P94" s="28">
        <v>41080</v>
      </c>
      <c r="Q94" s="178">
        <v>41000</v>
      </c>
      <c r="R94" s="178">
        <v>41019</v>
      </c>
    </row>
    <row r="95" spans="1:18" ht="15">
      <c r="A95" t="s">
        <v>134</v>
      </c>
      <c r="B95" s="32" t="s">
        <v>38</v>
      </c>
      <c r="C95" s="199">
        <f t="shared" ca="1" si="36"/>
        <v>43616</v>
      </c>
      <c r="D95" s="199">
        <f t="shared" ca="1" si="37"/>
        <v>43636</v>
      </c>
      <c r="E95" s="199">
        <f t="shared" ca="1" si="38"/>
        <v>43560</v>
      </c>
      <c r="F95" s="199">
        <f t="shared" ca="1" si="39"/>
        <v>43575</v>
      </c>
      <c r="O95" s="28">
        <v>41060</v>
      </c>
      <c r="P95" s="28">
        <v>41080</v>
      </c>
      <c r="Q95" s="178">
        <v>41004</v>
      </c>
      <c r="R95" s="178">
        <v>41019</v>
      </c>
    </row>
    <row r="96" spans="1:18" ht="15">
      <c r="A96" t="s">
        <v>135</v>
      </c>
      <c r="B96" s="32" t="s">
        <v>38</v>
      </c>
      <c r="C96" s="199">
        <f t="shared" ca="1" si="36"/>
        <v>43616</v>
      </c>
      <c r="D96" s="199">
        <f t="shared" ca="1" si="37"/>
        <v>43636</v>
      </c>
      <c r="E96" s="199">
        <f t="shared" ca="1" si="38"/>
        <v>43560</v>
      </c>
      <c r="F96" s="199">
        <f t="shared" ca="1" si="39"/>
        <v>43575</v>
      </c>
      <c r="O96" s="28">
        <v>41060</v>
      </c>
      <c r="P96" s="28">
        <v>41080</v>
      </c>
      <c r="Q96" s="178">
        <v>41004</v>
      </c>
      <c r="R96" s="178">
        <v>41019</v>
      </c>
    </row>
    <row r="97" spans="1:18" ht="15">
      <c r="A97" t="s">
        <v>136</v>
      </c>
      <c r="B97" s="32" t="s">
        <v>39</v>
      </c>
      <c r="C97" s="199">
        <f t="shared" ca="1" si="36"/>
        <v>43595</v>
      </c>
      <c r="D97" s="199">
        <f t="shared" ca="1" si="37"/>
        <v>43641</v>
      </c>
      <c r="E97" s="199">
        <f t="shared" ca="1" si="38"/>
        <v>43544</v>
      </c>
      <c r="F97" s="199">
        <f t="shared" ca="1" si="39"/>
        <v>43570</v>
      </c>
      <c r="O97" s="28">
        <v>41039</v>
      </c>
      <c r="P97" s="28">
        <v>41085</v>
      </c>
      <c r="Q97" s="178">
        <v>40988</v>
      </c>
      <c r="R97" s="178">
        <v>41014</v>
      </c>
    </row>
    <row r="98" spans="1:18" ht="15">
      <c r="A98" t="s">
        <v>137</v>
      </c>
      <c r="B98" s="32" t="s">
        <v>39</v>
      </c>
      <c r="C98" s="28"/>
      <c r="D98" s="28"/>
      <c r="E98" s="176"/>
      <c r="F98" s="177"/>
      <c r="O98" s="28"/>
      <c r="P98" s="28"/>
      <c r="Q98" s="178"/>
      <c r="R98" s="177"/>
    </row>
    <row r="99" spans="1:18" ht="15">
      <c r="A99" t="s">
        <v>138</v>
      </c>
      <c r="B99" s="32" t="s">
        <v>38</v>
      </c>
      <c r="C99" s="199">
        <f t="shared" ref="C99:C103" ca="1" si="40">DATE(YEAR(O99)+$L$5,MONTH(O99),DAY(O99))</f>
        <v>43616</v>
      </c>
      <c r="D99" s="199">
        <f t="shared" ref="D99:D103" ca="1" si="41">DATE(YEAR(P99)+$L$5,MONTH(P99),DAY(P99))</f>
        <v>43636</v>
      </c>
      <c r="E99" s="199">
        <f t="shared" ref="E99:E103" ca="1" si="42">DATE(YEAR(Q99)+$L$5,MONTH(Q99),DAY(Q99))</f>
        <v>43560</v>
      </c>
      <c r="F99" s="199">
        <f t="shared" ref="F99:F103" ca="1" si="43">DATE(YEAR(R99)+$L$5,MONTH(R99),DAY(R99))</f>
        <v>43575</v>
      </c>
      <c r="O99" s="28">
        <v>41060</v>
      </c>
      <c r="P99" s="28">
        <v>41080</v>
      </c>
      <c r="Q99" s="178">
        <v>41004</v>
      </c>
      <c r="R99" s="178">
        <v>41019</v>
      </c>
    </row>
    <row r="100" spans="1:18" ht="15">
      <c r="A100" t="s">
        <v>139</v>
      </c>
      <c r="B100" s="32" t="s">
        <v>38</v>
      </c>
      <c r="C100" s="199">
        <f t="shared" ca="1" si="40"/>
        <v>43616</v>
      </c>
      <c r="D100" s="199">
        <f t="shared" ca="1" si="41"/>
        <v>43636</v>
      </c>
      <c r="E100" s="199">
        <f t="shared" ca="1" si="42"/>
        <v>43556</v>
      </c>
      <c r="F100" s="199">
        <f t="shared" ca="1" si="43"/>
        <v>43575</v>
      </c>
      <c r="O100" s="28">
        <v>41060</v>
      </c>
      <c r="P100" s="28">
        <v>41080</v>
      </c>
      <c r="Q100" s="178">
        <v>41000</v>
      </c>
      <c r="R100" s="178">
        <v>41019</v>
      </c>
    </row>
    <row r="101" spans="1:18" ht="15">
      <c r="A101" t="s">
        <v>140</v>
      </c>
      <c r="B101" s="32" t="s">
        <v>39</v>
      </c>
      <c r="C101" s="199">
        <f t="shared" ca="1" si="40"/>
        <v>43610</v>
      </c>
      <c r="D101" s="199">
        <f t="shared" ca="1" si="41"/>
        <v>43641</v>
      </c>
      <c r="E101" s="199">
        <f t="shared" ca="1" si="42"/>
        <v>43556</v>
      </c>
      <c r="F101" s="199">
        <f t="shared" ca="1" si="43"/>
        <v>43575</v>
      </c>
      <c r="O101" s="28">
        <v>41054</v>
      </c>
      <c r="P101" s="28">
        <v>41085</v>
      </c>
      <c r="Q101" s="178">
        <v>41000</v>
      </c>
      <c r="R101" s="178">
        <v>41019</v>
      </c>
    </row>
    <row r="102" spans="1:18" ht="15">
      <c r="A102" t="s">
        <v>141</v>
      </c>
      <c r="B102" s="32" t="s">
        <v>39</v>
      </c>
      <c r="C102" s="199">
        <f t="shared" ca="1" si="40"/>
        <v>43610</v>
      </c>
      <c r="D102" s="199">
        <f t="shared" ca="1" si="41"/>
        <v>43636</v>
      </c>
      <c r="E102" s="199">
        <f t="shared" ca="1" si="42"/>
        <v>43556</v>
      </c>
      <c r="F102" s="199">
        <f t="shared" ca="1" si="43"/>
        <v>43575</v>
      </c>
      <c r="O102" s="28">
        <v>41054</v>
      </c>
      <c r="P102" s="28">
        <v>41080</v>
      </c>
      <c r="Q102" s="178">
        <v>41000</v>
      </c>
      <c r="R102" s="178">
        <v>41019</v>
      </c>
    </row>
    <row r="103" spans="1:18" ht="15">
      <c r="A103" t="s">
        <v>142</v>
      </c>
      <c r="B103" s="32" t="s">
        <v>38</v>
      </c>
      <c r="C103" s="199">
        <f t="shared" ca="1" si="40"/>
        <v>43616</v>
      </c>
      <c r="D103" s="199">
        <f t="shared" ca="1" si="41"/>
        <v>43636</v>
      </c>
      <c r="E103" s="199">
        <f t="shared" ca="1" si="42"/>
        <v>43556</v>
      </c>
      <c r="F103" s="199">
        <f t="shared" ca="1" si="43"/>
        <v>43575</v>
      </c>
      <c r="O103" s="28">
        <v>41060</v>
      </c>
      <c r="P103" s="28">
        <v>41080</v>
      </c>
      <c r="Q103" s="178">
        <v>41000</v>
      </c>
      <c r="R103" s="178">
        <v>41019</v>
      </c>
    </row>
    <row r="104" spans="1:18" ht="15">
      <c r="A104" t="s">
        <v>143</v>
      </c>
      <c r="B104" s="32" t="s">
        <v>38</v>
      </c>
      <c r="C104" s="28"/>
      <c r="D104" s="28"/>
      <c r="E104" s="176"/>
      <c r="F104" s="177"/>
      <c r="O104" s="28"/>
      <c r="P104" s="28"/>
      <c r="Q104" s="178"/>
      <c r="R104" s="177"/>
    </row>
    <row r="105" spans="1:18" ht="15">
      <c r="A105" t="s">
        <v>144</v>
      </c>
      <c r="B105" s="32" t="s">
        <v>39</v>
      </c>
      <c r="C105" s="199">
        <f t="shared" ref="C105:C106" ca="1" si="44">DATE(YEAR(O105)+$L$5,MONTH(O105),DAY(O105))</f>
        <v>43610</v>
      </c>
      <c r="D105" s="199">
        <f t="shared" ref="D105:D106" ca="1" si="45">DATE(YEAR(P105)+$L$5,MONTH(P105),DAY(P105))</f>
        <v>43636</v>
      </c>
      <c r="E105" s="199">
        <f t="shared" ref="E105:E106" ca="1" si="46">DATE(YEAR(Q105)+$L$5,MONTH(Q105),DAY(Q105))</f>
        <v>43556</v>
      </c>
      <c r="F105" s="199">
        <f t="shared" ref="F105:F106" ca="1" si="47">DATE(YEAR(R105)+$L$5,MONTH(R105),DAY(R105))</f>
        <v>43570</v>
      </c>
      <c r="O105" s="28">
        <v>41054</v>
      </c>
      <c r="P105" s="28">
        <v>41080</v>
      </c>
      <c r="Q105" s="178">
        <v>41000</v>
      </c>
      <c r="R105" s="178">
        <v>41014</v>
      </c>
    </row>
    <row r="106" spans="1:18" ht="15">
      <c r="A106" t="s">
        <v>145</v>
      </c>
      <c r="B106" s="32" t="s">
        <v>39</v>
      </c>
      <c r="C106" s="199">
        <f t="shared" ca="1" si="44"/>
        <v>43595</v>
      </c>
      <c r="D106" s="199">
        <f t="shared" ca="1" si="45"/>
        <v>43641</v>
      </c>
      <c r="E106" s="199">
        <f t="shared" ca="1" si="46"/>
        <v>43544</v>
      </c>
      <c r="F106" s="199">
        <f t="shared" ca="1" si="47"/>
        <v>43570</v>
      </c>
      <c r="O106" s="28">
        <v>41039</v>
      </c>
      <c r="P106" s="28">
        <v>41085</v>
      </c>
      <c r="Q106" s="178">
        <v>40988</v>
      </c>
      <c r="R106" s="178">
        <v>41014</v>
      </c>
    </row>
    <row r="107" spans="1:18" ht="15">
      <c r="A107" t="s">
        <v>146</v>
      </c>
      <c r="B107" s="32" t="s">
        <v>39</v>
      </c>
      <c r="C107" s="28"/>
      <c r="D107" s="28"/>
      <c r="E107" s="176"/>
      <c r="F107" s="177"/>
      <c r="O107" s="28"/>
      <c r="P107" s="28"/>
      <c r="Q107" s="178"/>
      <c r="R107" s="177"/>
    </row>
    <row r="108" spans="1:18" ht="15">
      <c r="A108" t="s">
        <v>147</v>
      </c>
      <c r="B108" s="32" t="s">
        <v>38</v>
      </c>
      <c r="C108" s="199">
        <f t="shared" ref="C108" ca="1" si="48">DATE(YEAR(O108)+$L$5,MONTH(O108),DAY(O108))</f>
        <v>43616</v>
      </c>
      <c r="D108" s="199">
        <f t="shared" ref="D108" ca="1" si="49">DATE(YEAR(P108)+$L$5,MONTH(P108),DAY(P108))</f>
        <v>43636</v>
      </c>
      <c r="E108" s="199">
        <f t="shared" ref="E108" ca="1" si="50">DATE(YEAR(Q108)+$L$5,MONTH(Q108),DAY(Q108))</f>
        <v>43560</v>
      </c>
      <c r="F108" s="199">
        <f t="shared" ref="F108" ca="1" si="51">DATE(YEAR(R108)+$L$5,MONTH(R108),DAY(R108))</f>
        <v>43575</v>
      </c>
      <c r="O108" s="28">
        <v>41060</v>
      </c>
      <c r="P108" s="28">
        <v>41080</v>
      </c>
      <c r="Q108" s="178">
        <v>41004</v>
      </c>
      <c r="R108" s="178">
        <v>41019</v>
      </c>
    </row>
    <row r="109" spans="1:18" ht="15">
      <c r="A109" t="s">
        <v>148</v>
      </c>
      <c r="B109" s="32" t="s">
        <v>39</v>
      </c>
      <c r="C109" s="28"/>
      <c r="D109" s="28"/>
      <c r="E109" s="176"/>
      <c r="F109" s="177"/>
      <c r="O109" s="28"/>
      <c r="P109" s="28"/>
      <c r="Q109" s="178"/>
      <c r="R109" s="177"/>
    </row>
    <row r="110" spans="1:18" ht="15">
      <c r="A110" t="s">
        <v>149</v>
      </c>
      <c r="B110" s="32" t="s">
        <v>39</v>
      </c>
      <c r="C110" s="28"/>
      <c r="D110" s="28"/>
      <c r="E110" s="176"/>
      <c r="F110" s="177"/>
      <c r="O110" s="28"/>
      <c r="P110" s="28"/>
      <c r="Q110" s="178"/>
      <c r="R110" s="177"/>
    </row>
    <row r="111" spans="1:18" ht="15">
      <c r="A111" t="s">
        <v>150</v>
      </c>
      <c r="B111" s="32" t="s">
        <v>39</v>
      </c>
      <c r="C111" s="199">
        <f t="shared" ref="C111:C112" ca="1" si="52">DATE(YEAR(O111)+$L$5,MONTH(O111),DAY(O111))</f>
        <v>43610</v>
      </c>
      <c r="D111" s="199">
        <f t="shared" ref="D111:D112" ca="1" si="53">DATE(YEAR(P111)+$L$5,MONTH(P111),DAY(P111))</f>
        <v>43646</v>
      </c>
      <c r="E111" s="199">
        <f t="shared" ref="E111:E112" ca="1" si="54">DATE(YEAR(Q111)+$L$5,MONTH(Q111),DAY(Q111))</f>
        <v>43556</v>
      </c>
      <c r="F111" s="199">
        <f t="shared" ref="F111:F112" ca="1" si="55">DATE(YEAR(R111)+$L$5,MONTH(R111),DAY(R111))</f>
        <v>43575</v>
      </c>
      <c r="O111" s="28">
        <v>41054</v>
      </c>
      <c r="P111" s="28">
        <v>41090</v>
      </c>
      <c r="Q111" s="178">
        <v>41000</v>
      </c>
      <c r="R111" s="178">
        <v>41019</v>
      </c>
    </row>
    <row r="112" spans="1:18" ht="15">
      <c r="A112" t="s">
        <v>151</v>
      </c>
      <c r="B112" s="32" t="s">
        <v>38</v>
      </c>
      <c r="C112" s="199">
        <f t="shared" ca="1" si="52"/>
        <v>43616</v>
      </c>
      <c r="D112" s="199">
        <f t="shared" ca="1" si="53"/>
        <v>43636</v>
      </c>
      <c r="E112" s="199">
        <f t="shared" ca="1" si="54"/>
        <v>43556</v>
      </c>
      <c r="F112" s="199">
        <f t="shared" ca="1" si="55"/>
        <v>43575</v>
      </c>
      <c r="O112" s="28">
        <v>41060</v>
      </c>
      <c r="P112" s="28">
        <v>41080</v>
      </c>
      <c r="Q112" s="178">
        <v>41000</v>
      </c>
      <c r="R112" s="178">
        <v>41019</v>
      </c>
    </row>
    <row r="113" spans="1:18" ht="15">
      <c r="A113" t="s">
        <v>152</v>
      </c>
      <c r="B113" s="32" t="s">
        <v>38</v>
      </c>
      <c r="C113" s="28"/>
      <c r="D113" s="28"/>
      <c r="E113" s="176"/>
      <c r="F113" s="177"/>
      <c r="O113" s="28"/>
      <c r="P113" s="28"/>
      <c r="Q113" s="178"/>
      <c r="R113" s="177"/>
    </row>
    <row r="114" spans="1:18" ht="15">
      <c r="A114" t="s">
        <v>153</v>
      </c>
      <c r="B114" s="32" t="s">
        <v>39</v>
      </c>
      <c r="C114" s="199">
        <f t="shared" ref="C114:D117" ca="1" si="56">DATE(YEAR(O114)+$L$5,MONTH(O114),DAY(O114))</f>
        <v>43610</v>
      </c>
      <c r="D114" s="199">
        <f t="shared" ca="1" si="56"/>
        <v>43641</v>
      </c>
      <c r="E114" s="199">
        <f t="shared" ref="E114:F117" ca="1" si="57">DATE(YEAR(Q114)+$L$5,MONTH(Q114),DAY(Q114))</f>
        <v>43556</v>
      </c>
      <c r="F114" s="199">
        <f t="shared" ca="1" si="57"/>
        <v>43575</v>
      </c>
      <c r="O114" s="28">
        <v>41054</v>
      </c>
      <c r="P114" s="28">
        <v>41085</v>
      </c>
      <c r="Q114" s="178">
        <v>41000</v>
      </c>
      <c r="R114" s="178">
        <v>41019</v>
      </c>
    </row>
    <row r="115" spans="1:18" ht="15">
      <c r="A115" t="s">
        <v>154</v>
      </c>
      <c r="B115" s="32" t="s">
        <v>39</v>
      </c>
      <c r="C115" s="199">
        <f t="shared" ca="1" si="56"/>
        <v>43610</v>
      </c>
      <c r="D115" s="28"/>
      <c r="E115" s="199">
        <f t="shared" ca="1" si="57"/>
        <v>43556</v>
      </c>
      <c r="F115" s="177"/>
      <c r="O115" s="28">
        <v>41054</v>
      </c>
      <c r="P115" s="28"/>
      <c r="Q115" s="178">
        <v>41000</v>
      </c>
      <c r="R115" s="177"/>
    </row>
    <row r="116" spans="1:18" ht="15">
      <c r="A116" t="s">
        <v>155</v>
      </c>
      <c r="B116" s="32" t="s">
        <v>38</v>
      </c>
      <c r="C116" s="199">
        <f t="shared" ca="1" si="56"/>
        <v>43610</v>
      </c>
      <c r="D116" s="199">
        <f t="shared" ca="1" si="56"/>
        <v>43631</v>
      </c>
      <c r="E116" s="199">
        <f t="shared" ca="1" si="57"/>
        <v>43560</v>
      </c>
      <c r="F116" s="199">
        <f t="shared" ca="1" si="57"/>
        <v>43575</v>
      </c>
      <c r="O116" s="28">
        <v>41054</v>
      </c>
      <c r="P116" s="28">
        <v>41075</v>
      </c>
      <c r="Q116" s="178">
        <v>41004</v>
      </c>
      <c r="R116" s="178">
        <v>41019</v>
      </c>
    </row>
    <row r="117" spans="1:18" ht="15">
      <c r="A117" t="s">
        <v>156</v>
      </c>
      <c r="B117" s="32" t="s">
        <v>39</v>
      </c>
      <c r="C117" s="199">
        <f t="shared" ca="1" si="56"/>
        <v>43610</v>
      </c>
      <c r="D117" s="28"/>
      <c r="E117" s="199">
        <f t="shared" ca="1" si="57"/>
        <v>43556</v>
      </c>
      <c r="F117" s="177"/>
      <c r="O117" s="28">
        <v>41054</v>
      </c>
      <c r="P117" s="28"/>
      <c r="Q117" s="178">
        <v>41000</v>
      </c>
      <c r="R117" s="177"/>
    </row>
    <row r="118" spans="1:18">
      <c r="E118" s="29"/>
      <c r="Q118" s="29"/>
    </row>
    <row r="119" spans="1:18">
      <c r="E119" s="27"/>
      <c r="Q119" s="27"/>
    </row>
    <row r="120" spans="1:18">
      <c r="E120" s="27"/>
      <c r="Q120" s="27"/>
    </row>
    <row r="121" spans="1:18">
      <c r="E121" s="27"/>
      <c r="Q121" s="27"/>
    </row>
    <row r="122" spans="1:18">
      <c r="E122" s="27"/>
      <c r="Q122" s="27"/>
    </row>
    <row r="123" spans="1:18">
      <c r="E123" s="27"/>
      <c r="Q123" s="27"/>
    </row>
    <row r="124" spans="1:18">
      <c r="E124" s="27"/>
      <c r="Q124" s="27"/>
    </row>
    <row r="125" spans="1:18">
      <c r="E125" s="27"/>
      <c r="Q125" s="27"/>
    </row>
    <row r="126" spans="1:18">
      <c r="E126" s="27"/>
      <c r="Q126" s="27"/>
    </row>
    <row r="127" spans="1:18">
      <c r="E127" s="27"/>
      <c r="Q127" s="27"/>
    </row>
    <row r="128" spans="1:18">
      <c r="E128" s="27"/>
      <c r="Q128" s="27"/>
    </row>
    <row r="129" spans="5:17">
      <c r="E129" s="27"/>
      <c r="Q129" s="27"/>
    </row>
    <row r="130" spans="5:17">
      <c r="E130" s="27"/>
      <c r="Q130" s="27"/>
    </row>
    <row r="131" spans="5:17">
      <c r="E131" s="27"/>
      <c r="Q131" s="27"/>
    </row>
    <row r="132" spans="5:17">
      <c r="E132" s="27"/>
      <c r="Q132" s="27"/>
    </row>
    <row r="133" spans="5:17">
      <c r="E133" s="27"/>
      <c r="Q133" s="27"/>
    </row>
    <row r="134" spans="5:17">
      <c r="E134" s="27"/>
      <c r="Q134" s="27"/>
    </row>
    <row r="135" spans="5:17">
      <c r="E135" s="27"/>
      <c r="Q135" s="27"/>
    </row>
    <row r="136" spans="5:17">
      <c r="E136" s="27"/>
      <c r="Q136" s="27"/>
    </row>
    <row r="137" spans="5:17">
      <c r="E137" s="27"/>
      <c r="Q137" s="27"/>
    </row>
    <row r="138" spans="5:17">
      <c r="E138" s="27"/>
    </row>
    <row r="139" spans="5:17">
      <c r="E139" s="27"/>
    </row>
    <row r="140" spans="5:17">
      <c r="E140" s="27"/>
    </row>
    <row r="141" spans="5:17">
      <c r="E141" s="2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vt:lpstr>
      <vt:lpstr>Corn Already Planted</vt:lpstr>
      <vt:lpstr>Corn Prevented Planting</vt:lpstr>
      <vt:lpstr>Soybeans Already Planted</vt:lpstr>
      <vt:lpstr>Soybeans Prevented Planting</vt:lpstr>
      <vt:lpstr>RMAData</vt:lpstr>
      <vt:lpstr>'Corn Already Planted'!Print_Area</vt:lpstr>
      <vt:lpstr>'Corn Prevented Planting'!Print_Area</vt:lpstr>
      <vt:lpstr>'Soybeans Already Planted'!Print_Area</vt:lpstr>
      <vt:lpstr>'Soybeans Prevented Planting'!Print_Area</vt:lpstr>
    </vt:vector>
  </TitlesOfParts>
  <Company>Economics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MasseyR@missouri.edu</dc:creator>
  <cp:lastModifiedBy>Hannah McClure</cp:lastModifiedBy>
  <cp:lastPrinted>2012-03-20T16:31:17Z</cp:lastPrinted>
  <dcterms:created xsi:type="dcterms:W3CDTF">2004-05-28T19:37:33Z</dcterms:created>
  <dcterms:modified xsi:type="dcterms:W3CDTF">2019-04-02T18:29:39Z</dcterms:modified>
  <cp:contentStatus>I modified the estimate of yield using the same equations used in the Replant Decision Aid</cp:contentStatus>
</cp:coreProperties>
</file>