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00" windowWidth="12120" windowHeight="4545" tabRatio="671" activeTab="0"/>
  </bookViews>
  <sheets>
    <sheet name="Introduction" sheetId="1" r:id="rId1"/>
    <sheet name="Lease-Lease" sheetId="2" r:id="rId2"/>
    <sheet name="Lease-Purchase" sheetId="3" r:id="rId3"/>
    <sheet name="Cash Graph" sheetId="4" r:id="rId4"/>
    <sheet name="Assumption" sheetId="5" r:id="rId5"/>
  </sheets>
  <definedNames>
    <definedName name="__123Graph_ACHART1" hidden="1">'Lease-Purchase'!$C$69:$J$69</definedName>
    <definedName name="__123Graph_BCHART1" hidden="1">'Lease-Purchase'!$C$79:$J$79</definedName>
    <definedName name="__123Graph_XCHART1" hidden="1">'Lease-Purchase'!$C$51:$J$51</definedName>
    <definedName name="behours">'Lease-Lease'!#REF!</definedName>
    <definedName name="joe">'Lease-Purchase'!#REF!</definedName>
    <definedName name="_xlnm.Print_Area" localSheetId="0">'Introduction'!$A$1:$H$17</definedName>
    <definedName name="_xlnm.Print_Area" localSheetId="1">'Lease-Lease'!$B$1:$E$16</definedName>
    <definedName name="_xlnm.Print_Area" localSheetId="2">'Lease-Purchase'!$B$12:$O$100</definedName>
    <definedName name="solver_cvg" localSheetId="1" hidden="1">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'Lease-Lease'!#REF!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definedName>
    <definedName name="zero">'Lease-Lease'!$F$16</definedName>
  </definedNames>
  <calcPr fullCalcOnLoad="1"/>
</workbook>
</file>

<file path=xl/sharedStrings.xml><?xml version="1.0" encoding="utf-8"?>
<sst xmlns="http://schemas.openxmlformats.org/spreadsheetml/2006/main" count="186" uniqueCount="150">
  <si>
    <t>Equipment Lease Analyzer</t>
  </si>
  <si>
    <t>are not responsible for any actions taken as a result of using this template.</t>
  </si>
  <si>
    <t>What type of equipment lease are your wanting to analyze?</t>
  </si>
  <si>
    <t>150 hp or larger Tractor</t>
  </si>
  <si>
    <t>Select the box to the left and use the drop down list to choose a type of equipment.</t>
  </si>
  <si>
    <t>Input Table</t>
  </si>
  <si>
    <t>List Price</t>
  </si>
  <si>
    <t>Lease Base Price</t>
  </si>
  <si>
    <t>Purchase Price</t>
  </si>
  <si>
    <t>End of Lease Purchase Option</t>
  </si>
  <si>
    <t>Loan Needed</t>
  </si>
  <si>
    <t>Interest rate</t>
  </si>
  <si>
    <t>Lease term (years)</t>
  </si>
  <si>
    <t>Term of Loan (years)</t>
  </si>
  <si>
    <t>Annual Payment</t>
  </si>
  <si>
    <t>Years to Sale</t>
  </si>
  <si>
    <t>Contract hours per year</t>
  </si>
  <si>
    <t>Hours per year</t>
  </si>
  <si>
    <t>Actual hours/year used</t>
  </si>
  <si>
    <t>Charge for extra hours</t>
  </si>
  <si>
    <t>Capital Gains Tax Rate</t>
  </si>
  <si>
    <t>Equipment Horsepower</t>
  </si>
  <si>
    <t>Section 179 Election</t>
  </si>
  <si>
    <t>Property tax/year if paid by farmer</t>
  </si>
  <si>
    <t>Personal Property Tax/Year</t>
  </si>
  <si>
    <t>Excercise Purchase Option? (yes or no)</t>
  </si>
  <si>
    <t>Discount factor</t>
  </si>
  <si>
    <t>Finance purchase option (yes or no)</t>
  </si>
  <si>
    <t>Annual Inflation</t>
  </si>
  <si>
    <t>Year 1</t>
  </si>
  <si>
    <t>Year 2</t>
  </si>
  <si>
    <t>Year 3</t>
  </si>
  <si>
    <t>Year 4</t>
  </si>
  <si>
    <t>Year 5</t>
  </si>
  <si>
    <t>Year 6</t>
  </si>
  <si>
    <t>Year 7</t>
  </si>
  <si>
    <t>Year 8</t>
  </si>
  <si>
    <t>Year 9</t>
  </si>
  <si>
    <t>Year 10</t>
  </si>
  <si>
    <t>Year 11</t>
  </si>
  <si>
    <t>Total</t>
  </si>
  <si>
    <t>NPV</t>
  </si>
  <si>
    <t>Cash Flow Summary</t>
  </si>
  <si>
    <t>Purchase Net Cash Flow</t>
  </si>
  <si>
    <t>Lease Net Cash Flow</t>
  </si>
  <si>
    <t>Difference (Purchase - Lease)</t>
  </si>
  <si>
    <t>Purchase Cashflow</t>
  </si>
  <si>
    <t>Year</t>
  </si>
  <si>
    <t>Cash Out</t>
  </si>
  <si>
    <t>Purchase Payment</t>
  </si>
  <si>
    <t xml:space="preserve">  Interest</t>
  </si>
  <si>
    <t xml:space="preserve">  Principle</t>
  </si>
  <si>
    <t>Property Tax</t>
  </si>
  <si>
    <t>Capital Gains Tax on Sale</t>
  </si>
  <si>
    <t>Depreciation Recapture</t>
  </si>
  <si>
    <t>Total Cash Out</t>
  </si>
  <si>
    <t>Deductions and Cash In</t>
  </si>
  <si>
    <t>Deductions are listed in the year they are taken rather than the year they are incurred.</t>
  </si>
  <si>
    <t>Sale of Equipment</t>
  </si>
  <si>
    <t>Value of Tax Deductions</t>
  </si>
  <si>
    <t xml:space="preserve">  Depreciation Deduction</t>
  </si>
  <si>
    <t xml:space="preserve">  Section 179 Deduction</t>
  </si>
  <si>
    <t xml:space="preserve">  Interest and Prop Tax Deduction</t>
  </si>
  <si>
    <t xml:space="preserve">  Capital Loss Tax Deduction</t>
  </si>
  <si>
    <t>Total Deductions and Cash In</t>
  </si>
  <si>
    <t>Net After Tax Cash Out</t>
  </si>
  <si>
    <t>Note: repairs and insurance are assumed equal under all scenarios</t>
  </si>
  <si>
    <t>Lease Payment - Base</t>
  </si>
  <si>
    <t>Lease Payment - extra hours</t>
  </si>
  <si>
    <t>Property tax, if paid by farmer</t>
  </si>
  <si>
    <t>Tax Deductions</t>
  </si>
  <si>
    <t>Net Lease Payment</t>
  </si>
  <si>
    <t>Cross and Perry Coefficients</t>
  </si>
  <si>
    <t>a</t>
  </si>
  <si>
    <t>b</t>
  </si>
  <si>
    <t>c</t>
  </si>
  <si>
    <t>d</t>
  </si>
  <si>
    <t>e</t>
  </si>
  <si>
    <t>f</t>
  </si>
  <si>
    <t>Purchase RV</t>
  </si>
  <si>
    <t>Lease RV</t>
  </si>
  <si>
    <t>30-79 hp Tractor</t>
  </si>
  <si>
    <t>80-149 hp Tractor</t>
  </si>
  <si>
    <t>Baler</t>
  </si>
  <si>
    <t>Combine</t>
  </si>
  <si>
    <t>Disk</t>
  </si>
  <si>
    <t>Manure Spreader</t>
  </si>
  <si>
    <t>Planter</t>
  </si>
  <si>
    <t>Plow</t>
  </si>
  <si>
    <t>Skid Steer Loader</t>
  </si>
  <si>
    <t>Swather</t>
  </si>
  <si>
    <t>Depreciation Factor</t>
  </si>
  <si>
    <t>Early Loan payoff due to sale</t>
  </si>
  <si>
    <t>Instructions: 1) Provide input in yellow cells; non-yellow cells contain formulas and should be left alone.</t>
  </si>
  <si>
    <t>4) The tables below the summary table contain the detailed calculations.  Look at these tables to analyze the results of the summary table.  If the summary table gives counter intuitive answers, look in these tables for a possible error.</t>
  </si>
  <si>
    <t>Charge for extra hours ($/hp hour)</t>
  </si>
  <si>
    <t>Term of Loan, if financed (years)</t>
  </si>
  <si>
    <t>Summary of Lease Analysis</t>
  </si>
  <si>
    <t>Calculations for Purchase of Equipment</t>
  </si>
  <si>
    <t>Calculations for Lease of Equipment</t>
  </si>
  <si>
    <t>Early Loan Payoff Due to Sale</t>
  </si>
  <si>
    <t>10 year analysis is the maximum length</t>
  </si>
  <si>
    <t>If lease term is less than purchase term, additional years leases are added by compounding.  Additional multi-year leases are not taken.</t>
  </si>
  <si>
    <t>If equipment is purchased at end of lease, a loan for the entire amount is taken</t>
  </si>
  <si>
    <t>Lease Expense and Cashflow</t>
  </si>
  <si>
    <t>Lease Cashflow when Purchase Option Exercised</t>
  </si>
  <si>
    <t>Breakeven Hours</t>
  </si>
  <si>
    <t>Lease 1</t>
  </si>
  <si>
    <t>Lease 2</t>
  </si>
  <si>
    <t>The "Lease-Lease" worksheet helps determine best number of hours to choose for a  lease.  The "Lease -Purchase" worksheet helps answer the question of whether to buy or lease a piece of equipment. Click on either worksheet tab to conduct an analysis.</t>
  </si>
  <si>
    <t>This sheet allows you to quickly determine the best annual hour selection to choose when considering an equipment lease.   Acquire the appropriate information from your dealer and enter it into the yellow cells.</t>
  </si>
  <si>
    <t>Implications</t>
  </si>
  <si>
    <t>3) The summary of cash expenditures and economic expenses is presented immediately below the input table.  The blue cells summarize the net present value of the decision.</t>
  </si>
  <si>
    <t>Down Payment</t>
  </si>
  <si>
    <t>Trade-in value</t>
  </si>
  <si>
    <r>
      <t>Beginning Tax Basis</t>
    </r>
    <r>
      <rPr>
        <vertAlign val="superscript"/>
        <sz val="12"/>
        <rFont val="Arial"/>
        <family val="2"/>
      </rPr>
      <t>1</t>
    </r>
  </si>
  <si>
    <r>
      <t>1</t>
    </r>
    <r>
      <rPr>
        <sz val="12"/>
        <rFont val="Arial"/>
        <family val="0"/>
      </rPr>
      <t>Note: ignores any depreciation recapture on trade-in.</t>
    </r>
  </si>
  <si>
    <t>The trade-in value is treated as cash on the assumption that the equipment could be sold if not traded in (giving a positive cash flow)</t>
  </si>
  <si>
    <t>Depreciation recapture on the initial tradein is ignore (assumed zero).</t>
  </si>
  <si>
    <t>Down Payment, if purchased and financed</t>
  </si>
  <si>
    <t>Loan needed if financed purchase option</t>
  </si>
  <si>
    <t>Loan Origination Fee</t>
  </si>
  <si>
    <t>Ray Massey and William Edwards</t>
  </si>
  <si>
    <t>University of Missouri and Iowa State University</t>
  </si>
  <si>
    <t>This worksheet is for educational purposes. The authors and their Universities</t>
  </si>
  <si>
    <r>
      <t>Marginal Tax Rate</t>
    </r>
    <r>
      <rPr>
        <vertAlign val="superscript"/>
        <sz val="12"/>
        <rFont val="Arial"/>
        <family val="2"/>
      </rPr>
      <t>2</t>
    </r>
  </si>
  <si>
    <r>
      <t>2</t>
    </r>
    <r>
      <rPr>
        <sz val="12"/>
        <rFont val="Arial"/>
        <family val="2"/>
      </rPr>
      <t>The marginal is only income tax; do not include self-employment tax.</t>
    </r>
  </si>
  <si>
    <t>Net After Tax Cash Flow</t>
  </si>
  <si>
    <t>Lease and Purchase Net Flow</t>
  </si>
  <si>
    <r>
      <t>Self Employment Tax</t>
    </r>
    <r>
      <rPr>
        <vertAlign val="superscript"/>
        <sz val="12"/>
        <rFont val="Arial"/>
        <family val="2"/>
      </rPr>
      <t>3</t>
    </r>
  </si>
  <si>
    <r>
      <t>3</t>
    </r>
    <r>
      <rPr>
        <sz val="12"/>
        <rFont val="Arial"/>
        <family val="2"/>
      </rPr>
      <t xml:space="preserve">Include self-employment tax if filing as sole-proprietor.  Corporations enter 0. </t>
    </r>
  </si>
  <si>
    <t>Note on taxes: the taxes are necessarily simplified in this analysis.  Use of Section 179 Election, depreciation method and selected tax rates are used with the idea that this is the only decision being made this year.  It is left to the user to enter the most appropriate information while recognizing that they do not have complete knowledge of the eventual tax situation.</t>
  </si>
  <si>
    <t>yes</t>
  </si>
  <si>
    <t>Downpayment</t>
  </si>
  <si>
    <t>Age at Purchase</t>
  </si>
  <si>
    <t>New RV</t>
  </si>
  <si>
    <t>Age at Lease End</t>
  </si>
  <si>
    <t>Age at Purchase, years (new = 0)</t>
  </si>
  <si>
    <t xml:space="preserve">   Over-write SV if desired</t>
  </si>
  <si>
    <t>Age at end of lease (years)</t>
  </si>
  <si>
    <t>Age at sale (years)</t>
  </si>
  <si>
    <t>Remaining value calculations revised by Bill Lazarus, University of Minnesota, November 19, 2001</t>
  </si>
  <si>
    <t>Estimated Salvage Value</t>
  </si>
  <si>
    <t>Estimated Value at End of Lease</t>
  </si>
  <si>
    <t>Age at Sale</t>
  </si>
  <si>
    <t>no</t>
  </si>
  <si>
    <t>2) An estimated salvage value at sale is calculated and shown in C19.  If you desire to change that value, enter your value in C20 by overwriting the formula.  Enter the end-of-lease purchase price in G17.  An estimated end-of-lease value is shown in G16 for comparison.</t>
  </si>
  <si>
    <t xml:space="preserve">Updated: December 2001     </t>
  </si>
  <si>
    <t>Developed by:</t>
  </si>
  <si>
    <r>
      <t>Equipment Lease Analyzer,</t>
    </r>
    <r>
      <rPr>
        <sz val="12"/>
        <color indexed="9"/>
        <rFont val="Arial"/>
        <family val="2"/>
      </rPr>
      <t xml:space="preserve"> modified by Bill Lazarus, 11/19/01</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</si>
</sst>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0.0_)"/>
    <numFmt numFmtId="168" formatCode="0.000_)"/>
    <numFmt numFmtId="169" formatCode="0.0000_)"/>
    <numFmt numFmtId="170" formatCode="0.00000_)"/>
    <numFmt numFmtId="171" formatCode="_(&quot;$&quot;* #,##0.0_);_(&quot;$&quot;* \(#,##0.0\);_(&quot;$&quot;* &quot;-&quot;??_);_(@_)"/>
    <numFmt numFmtId="172" formatCode="_(&quot;$&quot;* #,##0_);_(&quot;$&quot;* \(#,##0\);_(&quot;$&quot;* &quot;-&quot;??_);_(@_)"/>
    <numFmt numFmtId="173" formatCode="_(* #,##0.0_);_(* \(#,##0.0\);_(* &quot;-&quot;??_);_(@_)"/>
    <numFmt numFmtId="174" formatCode="_(* #,##0_);_(* \(#,##0\);_(* &quot;-&quot;??_);_(@_)"/>
    <numFmt numFmtId="175" formatCode="0.000000_)"/>
    <numFmt numFmtId="176" formatCode="0.0000000"/>
    <numFmt numFmtId="177" formatCode="0.000000"/>
    <numFmt numFmtId="178" formatCode="0.00000"/>
    <numFmt numFmtId="179" formatCode="0.0000"/>
    <numFmt numFmtId="180" formatCode="0.000"/>
    <numFmt numFmtId="181" formatCode="&quot;$&quot;#,##0.000_);\(&quot;$&quot;#,##0.000\)"/>
    <numFmt numFmtId="182" formatCode="0.0"/>
    <numFmt numFmtId="183" formatCode="&quot;$&quot;#,##0.0_);\(&quot;$&quot;#,##0.0\)"/>
    <numFmt numFmtId="184" formatCode="&quot;$&quot;#,##0"/>
    <numFmt numFmtId="185" formatCode="&quot;$&quot;#,##0;[Red]&quot;$&quot;#,##0"/>
    <numFmt numFmtId="186" formatCode="#,##0.0"/>
    <numFmt numFmtId="187" formatCode="&quot;$&quot;#,##0.0000_);\(&quot;$&quot;#,##0.0000\)"/>
    <numFmt numFmtId="188" formatCode="&quot;$&quot;#,##0.0_);[Red]\(&quot;$&quot;#,##0.0\)"/>
  </numFmts>
  <fonts count="59">
    <font>
      <sz val="12"/>
      <name val="Arial"/>
      <family val="0"/>
    </font>
    <font>
      <sz val="10"/>
      <name val="Arial"/>
      <family val="0"/>
    </font>
    <font>
      <b/>
      <sz val="18"/>
      <name val="Arial"/>
      <family val="2"/>
    </font>
    <font>
      <b/>
      <sz val="12"/>
      <name val="Arial"/>
      <family val="2"/>
    </font>
    <font>
      <sz val="12"/>
      <color indexed="9"/>
      <name val="Arial"/>
      <family val="2"/>
    </font>
    <font>
      <sz val="12"/>
      <color indexed="18"/>
      <name val="Arial"/>
      <family val="2"/>
    </font>
    <font>
      <b/>
      <sz val="14"/>
      <name val="Arial"/>
      <family val="2"/>
    </font>
    <font>
      <b/>
      <sz val="12"/>
      <color indexed="9"/>
      <name val="Arial"/>
      <family val="2"/>
    </font>
    <font>
      <b/>
      <sz val="14"/>
      <color indexed="9"/>
      <name val="Arial"/>
      <family val="2"/>
    </font>
    <font>
      <b/>
      <sz val="9"/>
      <color indexed="9"/>
      <name val="Arial"/>
      <family val="2"/>
    </font>
    <font>
      <vertAlign val="superscript"/>
      <sz val="12"/>
      <name val="Arial"/>
      <family val="2"/>
    </font>
    <font>
      <sz val="11"/>
      <name val="Arial"/>
      <family val="2"/>
    </font>
    <font>
      <i/>
      <sz val="8"/>
      <name val="Arial"/>
      <family val="2"/>
    </font>
    <font>
      <b/>
      <sz val="10"/>
      <name val="Arial"/>
      <family val="2"/>
    </font>
    <font>
      <b/>
      <i/>
      <sz val="12"/>
      <color indexed="9"/>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9"/>
      <name val="Arial"/>
      <family val="2"/>
    </font>
    <font>
      <b/>
      <sz val="18"/>
      <color indexed="9"/>
      <name val="Arial"/>
      <family val="2"/>
    </font>
    <font>
      <sz val="10"/>
      <color indexed="8"/>
      <name val="Arial"/>
      <family val="2"/>
    </font>
    <font>
      <sz val="9"/>
      <color indexed="8"/>
      <name val="Arial"/>
      <family val="2"/>
    </font>
    <font>
      <b/>
      <sz val="10"/>
      <color indexed="8"/>
      <name val="Arial"/>
      <family val="2"/>
    </font>
    <font>
      <b/>
      <sz val="14"/>
      <color indexed="8"/>
      <name val="Arial"/>
      <family val="2"/>
    </font>
    <font>
      <sz val="12.8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6"/>
      <color theme="0"/>
      <name val="Arial"/>
      <family val="2"/>
    </font>
    <font>
      <b/>
      <sz val="18"/>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660033"/>
        <bgColor indexed="64"/>
      </patternFill>
    </fill>
    <fill>
      <patternFill patternType="solid">
        <fgColor rgb="FF660033"/>
        <bgColor indexed="64"/>
      </patternFill>
    </fill>
    <fill>
      <patternFill patternType="solid">
        <fgColor theme="2" tint="-0.4999699890613556"/>
        <bgColor indexed="64"/>
      </patternFill>
    </fill>
    <fill>
      <patternFill patternType="solid">
        <fgColor rgb="FF002060"/>
        <bgColor indexed="64"/>
      </patternFill>
    </fill>
    <fill>
      <patternFill patternType="solid">
        <fgColor theme="2"/>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thin">
        <color indexed="8"/>
      </left>
      <right>
        <color indexed="63"/>
      </right>
      <top>
        <color indexed="63"/>
      </top>
      <bottom>
        <color indexed="63"/>
      </bottom>
    </border>
    <border>
      <left>
        <color indexed="63"/>
      </left>
      <right>
        <color indexed="63"/>
      </right>
      <top>
        <color indexed="63"/>
      </top>
      <bottom style="medium"/>
    </border>
    <border>
      <left style="thin">
        <color indexed="8"/>
      </left>
      <right>
        <color indexed="63"/>
      </right>
      <top>
        <color indexed="63"/>
      </top>
      <bottom style="medium">
        <color indexed="8"/>
      </bottom>
    </border>
    <border>
      <left style="medium">
        <color indexed="8"/>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medium">
        <color indexed="8"/>
      </right>
      <top style="medium">
        <color indexed="55"/>
      </top>
      <bottom>
        <color indexed="63"/>
      </bottom>
    </border>
    <border>
      <left>
        <color indexed="63"/>
      </left>
      <right>
        <color indexed="63"/>
      </right>
      <top style="thin"/>
      <bottom style="medium"/>
    </border>
    <border>
      <left style="medium"/>
      <right>
        <color indexed="63"/>
      </right>
      <top>
        <color indexed="63"/>
      </top>
      <bottom>
        <color indexed="63"/>
      </bottom>
    </border>
    <border>
      <left style="medium"/>
      <right>
        <color indexed="63"/>
      </right>
      <top style="thin"/>
      <bottom style="medium"/>
    </border>
    <border>
      <left>
        <color indexed="63"/>
      </left>
      <right style="thin">
        <color indexed="8"/>
      </right>
      <top>
        <color indexed="63"/>
      </top>
      <bottom>
        <color indexed="63"/>
      </bottom>
    </border>
    <border>
      <left>
        <color indexed="63"/>
      </left>
      <right>
        <color indexed="63"/>
      </right>
      <top style="medium"/>
      <bottom style="thin"/>
    </border>
    <border>
      <left>
        <color indexed="63"/>
      </left>
      <right>
        <color indexed="63"/>
      </right>
      <top style="medium"/>
      <bottom style="medium"/>
    </border>
    <border>
      <left>
        <color indexed="63"/>
      </left>
      <right style="medium">
        <color indexed="8"/>
      </right>
      <top style="medium"/>
      <bottom style="mediu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4">
    <xf numFmtId="0" fontId="0" fillId="0" borderId="0" xfId="0" applyAlignment="1">
      <alignment/>
    </xf>
    <xf numFmtId="0" fontId="2" fillId="0" borderId="0" xfId="0" applyFont="1" applyAlignment="1">
      <alignment horizontal="centerContinuous"/>
    </xf>
    <xf numFmtId="0" fontId="2" fillId="0" borderId="0" xfId="0" applyFont="1" applyAlignment="1">
      <alignment/>
    </xf>
    <xf numFmtId="0" fontId="0" fillId="0" borderId="0" xfId="0" applyAlignment="1">
      <alignment horizontal="centerContinuous"/>
    </xf>
    <xf numFmtId="5" fontId="0" fillId="0" borderId="0" xfId="0" applyNumberFormat="1" applyAlignment="1" applyProtection="1">
      <alignment/>
      <protection/>
    </xf>
    <xf numFmtId="164" fontId="0" fillId="0" borderId="0" xfId="0" applyNumberFormat="1" applyAlignment="1" applyProtection="1">
      <alignment/>
      <protection/>
    </xf>
    <xf numFmtId="164" fontId="0" fillId="0" borderId="10" xfId="0" applyNumberFormat="1" applyBorder="1" applyAlignment="1" applyProtection="1">
      <alignment/>
      <protection/>
    </xf>
    <xf numFmtId="165" fontId="0" fillId="0" borderId="0" xfId="0" applyNumberFormat="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5" fontId="0" fillId="0" borderId="11" xfId="0" applyNumberFormat="1" applyBorder="1" applyAlignment="1" applyProtection="1">
      <alignment/>
      <protection/>
    </xf>
    <xf numFmtId="5" fontId="0" fillId="0" borderId="12" xfId="0" applyNumberFormat="1" applyBorder="1" applyAlignment="1" applyProtection="1">
      <alignment/>
      <protection/>
    </xf>
    <xf numFmtId="5" fontId="0" fillId="0" borderId="13" xfId="0" applyNumberFormat="1" applyBorder="1" applyAlignment="1" applyProtection="1">
      <alignment/>
      <protection/>
    </xf>
    <xf numFmtId="0" fontId="0" fillId="0" borderId="14" xfId="0" applyBorder="1" applyAlignment="1">
      <alignment/>
    </xf>
    <xf numFmtId="164" fontId="0" fillId="0" borderId="15" xfId="0" applyNumberFormat="1" applyBorder="1" applyAlignment="1" applyProtection="1">
      <alignment/>
      <protection/>
    </xf>
    <xf numFmtId="164" fontId="0" fillId="0" borderId="16" xfId="0" applyNumberFormat="1" applyBorder="1" applyAlignment="1" applyProtection="1">
      <alignment/>
      <protection/>
    </xf>
    <xf numFmtId="164" fontId="0" fillId="0" borderId="10" xfId="0" applyNumberFormat="1" applyBorder="1" applyAlignment="1" applyProtection="1" quotePrefix="1">
      <alignment horizontal="left"/>
      <protection/>
    </xf>
    <xf numFmtId="165" fontId="0" fillId="0" borderId="11" xfId="0" applyNumberForma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Alignment="1">
      <alignment/>
    </xf>
    <xf numFmtId="5" fontId="0" fillId="0" borderId="0" xfId="0" applyNumberFormat="1" applyFill="1" applyAlignment="1" applyProtection="1">
      <alignment/>
      <protection/>
    </xf>
    <xf numFmtId="164" fontId="0" fillId="0" borderId="0" xfId="0" applyNumberFormat="1" applyBorder="1" applyAlignment="1" applyProtection="1">
      <alignment/>
      <protection/>
    </xf>
    <xf numFmtId="0" fontId="0" fillId="0" borderId="10" xfId="0" applyBorder="1" applyAlignment="1">
      <alignment horizontal="left"/>
    </xf>
    <xf numFmtId="164" fontId="0" fillId="0" borderId="10" xfId="0" applyNumberFormat="1" applyBorder="1" applyAlignment="1" applyProtection="1">
      <alignment horizontal="left"/>
      <protection/>
    </xf>
    <xf numFmtId="164" fontId="0" fillId="0" borderId="17" xfId="0" applyNumberFormat="1" applyBorder="1" applyAlignment="1" applyProtection="1">
      <alignment horizontal="left"/>
      <protection/>
    </xf>
    <xf numFmtId="164" fontId="0" fillId="0" borderId="18" xfId="0" applyNumberFormat="1" applyBorder="1" applyAlignment="1" applyProtection="1">
      <alignment horizontal="left"/>
      <protection/>
    </xf>
    <xf numFmtId="5" fontId="0" fillId="33" borderId="0" xfId="0" applyNumberFormat="1" applyFill="1" applyAlignment="1" applyProtection="1">
      <alignment/>
      <protection locked="0"/>
    </xf>
    <xf numFmtId="9" fontId="0" fillId="33" borderId="0" xfId="57" applyFont="1" applyFill="1" applyAlignment="1" applyProtection="1">
      <alignment/>
      <protection locked="0"/>
    </xf>
    <xf numFmtId="5" fontId="0" fillId="33" borderId="11" xfId="0" applyNumberFormat="1" applyFill="1" applyBorder="1" applyAlignment="1" applyProtection="1">
      <alignment/>
      <protection locked="0"/>
    </xf>
    <xf numFmtId="165" fontId="0" fillId="33" borderId="11" xfId="0" applyNumberFormat="1" applyFill="1" applyBorder="1" applyAlignment="1" applyProtection="1">
      <alignment/>
      <protection locked="0"/>
    </xf>
    <xf numFmtId="165" fontId="0" fillId="33" borderId="11" xfId="0" applyNumberFormat="1" applyFill="1" applyBorder="1" applyAlignment="1" applyProtection="1">
      <alignment horizontal="right"/>
      <protection locked="0"/>
    </xf>
    <xf numFmtId="0" fontId="0" fillId="0" borderId="0" xfId="0" applyAlignment="1">
      <alignment wrapText="1"/>
    </xf>
    <xf numFmtId="5" fontId="0" fillId="0" borderId="0" xfId="0" applyNumberFormat="1" applyAlignment="1">
      <alignment wrapText="1"/>
    </xf>
    <xf numFmtId="44" fontId="4" fillId="0" borderId="0" xfId="44" applyFont="1" applyAlignment="1" applyProtection="1">
      <alignment/>
      <protection/>
    </xf>
    <xf numFmtId="164" fontId="0" fillId="0" borderId="12" xfId="0" applyNumberFormat="1" applyBorder="1" applyAlignment="1" applyProtection="1">
      <alignment/>
      <protection/>
    </xf>
    <xf numFmtId="0" fontId="3" fillId="0" borderId="0" xfId="0" applyFont="1" applyAlignment="1">
      <alignment/>
    </xf>
    <xf numFmtId="164" fontId="0" fillId="0" borderId="18" xfId="0" applyNumberFormat="1" applyBorder="1" applyAlignment="1" applyProtection="1" quotePrefix="1">
      <alignment horizontal="left"/>
      <protection/>
    </xf>
    <xf numFmtId="0" fontId="0" fillId="0" borderId="0" xfId="0" applyFont="1" applyAlignment="1" applyProtection="1">
      <alignment horizontal="right"/>
      <protection/>
    </xf>
    <xf numFmtId="180" fontId="0" fillId="0" borderId="0" xfId="0" applyNumberFormat="1" applyFont="1" applyAlignment="1" applyProtection="1">
      <alignment/>
      <protection/>
    </xf>
    <xf numFmtId="180" fontId="0" fillId="0" borderId="0" xfId="0" applyNumberFormat="1" applyAlignment="1" applyProtection="1">
      <alignment/>
      <protection/>
    </xf>
    <xf numFmtId="0" fontId="0" fillId="0" borderId="0" xfId="0" applyBorder="1" applyAlignment="1">
      <alignment/>
    </xf>
    <xf numFmtId="166" fontId="0" fillId="33" borderId="11" xfId="57" applyNumberFormat="1" applyFont="1" applyFill="1" applyBorder="1" applyAlignment="1" applyProtection="1">
      <alignment horizontal="right"/>
      <protection locked="0"/>
    </xf>
    <xf numFmtId="0" fontId="0" fillId="0" borderId="0" xfId="0" applyAlignment="1">
      <alignment horizontal="left" wrapText="1"/>
    </xf>
    <xf numFmtId="0" fontId="0" fillId="0" borderId="19" xfId="0" applyBorder="1" applyAlignment="1">
      <alignment wrapText="1"/>
    </xf>
    <xf numFmtId="5" fontId="0" fillId="0" borderId="0" xfId="0" applyNumberFormat="1" applyBorder="1" applyAlignment="1" applyProtection="1">
      <alignment/>
      <protection/>
    </xf>
    <xf numFmtId="0" fontId="0" fillId="34" borderId="0" xfId="0" applyFont="1" applyFill="1" applyAlignment="1" applyProtection="1">
      <alignment/>
      <protection locked="0"/>
    </xf>
    <xf numFmtId="0" fontId="0" fillId="0" borderId="0" xfId="0" applyAlignment="1" quotePrefix="1">
      <alignment horizontal="left"/>
    </xf>
    <xf numFmtId="164" fontId="6" fillId="0" borderId="0" xfId="0" applyNumberFormat="1" applyFont="1" applyAlignment="1" applyProtection="1">
      <alignment/>
      <protection/>
    </xf>
    <xf numFmtId="0" fontId="6" fillId="0" borderId="0" xfId="0" applyFont="1" applyAlignment="1">
      <alignment/>
    </xf>
    <xf numFmtId="7" fontId="0" fillId="33" borderId="11" xfId="44" applyNumberFormat="1" applyFont="1" applyFill="1" applyBorder="1" applyAlignment="1" applyProtection="1">
      <alignment/>
      <protection locked="0"/>
    </xf>
    <xf numFmtId="164" fontId="0" fillId="0" borderId="18" xfId="0" applyNumberFormat="1" applyBorder="1" applyAlignment="1" applyProtection="1" quotePrefix="1">
      <alignment horizontal="left" indent="1"/>
      <protection/>
    </xf>
    <xf numFmtId="164" fontId="0" fillId="0" borderId="20" xfId="0" applyNumberFormat="1" applyBorder="1" applyAlignment="1" applyProtection="1" quotePrefix="1">
      <alignment horizontal="left"/>
      <protection/>
    </xf>
    <xf numFmtId="5" fontId="0" fillId="33" borderId="13" xfId="0" applyNumberFormat="1" applyFill="1" applyBorder="1" applyAlignment="1" applyProtection="1">
      <alignment/>
      <protection locked="0"/>
    </xf>
    <xf numFmtId="164" fontId="3" fillId="0" borderId="0" xfId="0" applyNumberFormat="1" applyFont="1" applyAlignment="1" applyProtection="1">
      <alignment/>
      <protection/>
    </xf>
    <xf numFmtId="164" fontId="3" fillId="0" borderId="0" xfId="0" applyNumberFormat="1" applyFont="1" applyAlignment="1" applyProtection="1" quotePrefix="1">
      <alignment horizontal="left"/>
      <protection/>
    </xf>
    <xf numFmtId="5" fontId="0" fillId="0" borderId="0" xfId="44" applyNumberFormat="1" applyFont="1" applyAlignment="1" applyProtection="1">
      <alignment/>
      <protection/>
    </xf>
    <xf numFmtId="164" fontId="0" fillId="0" borderId="21" xfId="0" applyNumberFormat="1" applyBorder="1" applyAlignment="1" applyProtection="1">
      <alignment/>
      <protection/>
    </xf>
    <xf numFmtId="5" fontId="0" fillId="0" borderId="22" xfId="0" applyNumberFormat="1" applyBorder="1" applyAlignment="1" applyProtection="1">
      <alignment/>
      <protection/>
    </xf>
    <xf numFmtId="164" fontId="0" fillId="0" borderId="22" xfId="0" applyNumberFormat="1" applyBorder="1" applyAlignment="1" applyProtection="1">
      <alignment/>
      <protection/>
    </xf>
    <xf numFmtId="5" fontId="0" fillId="0" borderId="23" xfId="0" applyNumberFormat="1" applyBorder="1" applyAlignment="1" applyProtection="1">
      <alignment/>
      <protection/>
    </xf>
    <xf numFmtId="5" fontId="0" fillId="0" borderId="22" xfId="44" applyNumberFormat="1" applyFont="1" applyBorder="1" applyAlignment="1" applyProtection="1">
      <alignment/>
      <protection/>
    </xf>
    <xf numFmtId="164" fontId="0" fillId="0" borderId="21" xfId="0" applyNumberFormat="1" applyBorder="1" applyAlignment="1" applyProtection="1" quotePrefix="1">
      <alignment horizontal="left"/>
      <protection/>
    </xf>
    <xf numFmtId="169" fontId="5" fillId="0" borderId="0" xfId="0" applyNumberFormat="1" applyFont="1" applyFill="1" applyBorder="1" applyAlignment="1" applyProtection="1">
      <alignment/>
      <protection locked="0"/>
    </xf>
    <xf numFmtId="165" fontId="5" fillId="0" borderId="0" xfId="0" applyNumberFormat="1" applyFont="1" applyFill="1" applyBorder="1" applyAlignment="1" applyProtection="1">
      <alignment/>
      <protection locked="0"/>
    </xf>
    <xf numFmtId="165" fontId="5" fillId="0" borderId="24" xfId="0" applyNumberFormat="1" applyFont="1" applyFill="1" applyBorder="1" applyAlignment="1" applyProtection="1">
      <alignment/>
      <protection locked="0"/>
    </xf>
    <xf numFmtId="164" fontId="0" fillId="0" borderId="25" xfId="0" applyNumberFormat="1" applyFont="1" applyFill="1" applyBorder="1" applyAlignment="1" applyProtection="1">
      <alignment/>
      <protection/>
    </xf>
    <xf numFmtId="0" fontId="0" fillId="0" borderId="0" xfId="0" applyBorder="1" applyAlignment="1">
      <alignment wrapText="1"/>
    </xf>
    <xf numFmtId="164" fontId="6" fillId="0" borderId="26" xfId="0" applyNumberFormat="1" applyFont="1" applyFill="1" applyBorder="1" applyAlignment="1" applyProtection="1">
      <alignment/>
      <protection/>
    </xf>
    <xf numFmtId="174" fontId="0" fillId="33" borderId="0" xfId="42" applyNumberFormat="1" applyFont="1" applyFill="1" applyAlignment="1" applyProtection="1">
      <alignment/>
      <protection locked="0"/>
    </xf>
    <xf numFmtId="174" fontId="0" fillId="33" borderId="11" xfId="42" applyNumberFormat="1" applyFont="1" applyFill="1" applyBorder="1" applyAlignment="1" applyProtection="1">
      <alignment/>
      <protection locked="0"/>
    </xf>
    <xf numFmtId="187" fontId="0" fillId="33" borderId="11" xfId="0" applyNumberFormat="1" applyFill="1" applyBorder="1" applyAlignment="1" applyProtection="1">
      <alignment/>
      <protection locked="0"/>
    </xf>
    <xf numFmtId="0" fontId="0" fillId="0" borderId="12" xfId="0" applyBorder="1" applyAlignment="1">
      <alignment wrapText="1"/>
    </xf>
    <xf numFmtId="0" fontId="3" fillId="0" borderId="0" xfId="0" applyFont="1" applyAlignment="1">
      <alignment horizontal="centerContinuous"/>
    </xf>
    <xf numFmtId="0" fontId="0" fillId="0" borderId="0" xfId="0" applyFont="1" applyAlignment="1">
      <alignment/>
    </xf>
    <xf numFmtId="164" fontId="10" fillId="0" borderId="0" xfId="0" applyNumberFormat="1" applyFont="1" applyAlignment="1" applyProtection="1" quotePrefix="1">
      <alignment horizontal="left"/>
      <protection/>
    </xf>
    <xf numFmtId="164" fontId="0" fillId="0" borderId="18" xfId="0" applyNumberFormat="1" applyBorder="1" applyAlignment="1" applyProtection="1">
      <alignment horizontal="left" indent="1"/>
      <protection/>
    </xf>
    <xf numFmtId="8" fontId="0" fillId="0" borderId="0" xfId="0" applyNumberFormat="1" applyAlignment="1">
      <alignment/>
    </xf>
    <xf numFmtId="6" fontId="0" fillId="0" borderId="0" xfId="0" applyNumberFormat="1" applyAlignment="1">
      <alignment/>
    </xf>
    <xf numFmtId="164" fontId="0" fillId="0" borderId="17" xfId="0" applyNumberFormat="1" applyBorder="1" applyAlignment="1" applyProtection="1" quotePrefix="1">
      <alignment horizontal="left"/>
      <protection/>
    </xf>
    <xf numFmtId="164" fontId="10" fillId="0" borderId="0" xfId="0" applyNumberFormat="1" applyFont="1" applyAlignment="1" applyProtection="1">
      <alignment horizontal="left"/>
      <protection/>
    </xf>
    <xf numFmtId="9" fontId="0" fillId="33" borderId="13" xfId="57" applyFont="1" applyFill="1" applyBorder="1" applyAlignment="1" applyProtection="1">
      <alignment/>
      <protection locked="0"/>
    </xf>
    <xf numFmtId="166" fontId="0" fillId="33" borderId="0" xfId="57" applyNumberFormat="1" applyFont="1" applyFill="1" applyAlignment="1" applyProtection="1">
      <alignment/>
      <protection locked="0"/>
    </xf>
    <xf numFmtId="9" fontId="0" fillId="33" borderId="11" xfId="57" applyFont="1" applyFill="1" applyBorder="1" applyAlignment="1" applyProtection="1">
      <alignment/>
      <protection locked="0"/>
    </xf>
    <xf numFmtId="164" fontId="0" fillId="0" borderId="10" xfId="0" applyNumberFormat="1" applyBorder="1" applyAlignment="1" applyProtection="1">
      <alignment horizontal="left" indent="1"/>
      <protection/>
    </xf>
    <xf numFmtId="0" fontId="0" fillId="0" borderId="0" xfId="0" applyAlignment="1" quotePrefix="1">
      <alignment horizontal="left" wrapText="1"/>
    </xf>
    <xf numFmtId="0" fontId="0" fillId="0" borderId="0" xfId="0" applyFont="1" applyAlignment="1" applyProtection="1">
      <alignment horizontal="center" wrapText="1"/>
      <protection/>
    </xf>
    <xf numFmtId="164" fontId="0" fillId="0" borderId="0" xfId="0" applyNumberFormat="1" applyAlignment="1" applyProtection="1">
      <alignment wrapText="1"/>
      <protection/>
    </xf>
    <xf numFmtId="172" fontId="0" fillId="0" borderId="0" xfId="44" applyNumberFormat="1" applyFont="1" applyAlignment="1" applyProtection="1">
      <alignment/>
      <protection/>
    </xf>
    <xf numFmtId="172" fontId="0" fillId="33" borderId="11" xfId="44" applyNumberFormat="1" applyFont="1" applyFill="1" applyBorder="1" applyAlignment="1" applyProtection="1">
      <alignment/>
      <protection locked="0"/>
    </xf>
    <xf numFmtId="172" fontId="0" fillId="0" borderId="11" xfId="44" applyNumberFormat="1" applyFont="1" applyBorder="1" applyAlignment="1" applyProtection="1">
      <alignment/>
      <protection/>
    </xf>
    <xf numFmtId="174" fontId="0" fillId="0" borderId="0" xfId="42" applyNumberFormat="1" applyFont="1" applyAlignment="1">
      <alignment/>
    </xf>
    <xf numFmtId="180" fontId="0" fillId="0" borderId="0" xfId="0" applyNumberFormat="1" applyAlignment="1">
      <alignment/>
    </xf>
    <xf numFmtId="5" fontId="0" fillId="0" borderId="27" xfId="0" applyNumberFormat="1" applyFill="1" applyBorder="1" applyAlignment="1" applyProtection="1">
      <alignment/>
      <protection/>
    </xf>
    <xf numFmtId="165" fontId="0" fillId="0" borderId="11" xfId="0" applyNumberFormat="1" applyBorder="1" applyAlignment="1" applyProtection="1">
      <alignment/>
      <protection/>
    </xf>
    <xf numFmtId="172" fontId="0" fillId="33" borderId="0" xfId="0" applyNumberFormat="1" applyFill="1" applyAlignment="1" applyProtection="1">
      <alignment/>
      <protection locked="0"/>
    </xf>
    <xf numFmtId="166" fontId="0" fillId="33" borderId="0" xfId="0" applyNumberFormat="1" applyFill="1" applyAlignment="1" applyProtection="1">
      <alignment/>
      <protection locked="0"/>
    </xf>
    <xf numFmtId="165" fontId="0" fillId="33" borderId="0" xfId="0" applyNumberFormat="1" applyFill="1" applyAlignment="1" applyProtection="1">
      <alignment/>
      <protection locked="0"/>
    </xf>
    <xf numFmtId="5" fontId="0" fillId="33" borderId="27" xfId="0" applyNumberFormat="1" applyFill="1" applyBorder="1" applyAlignment="1" applyProtection="1">
      <alignment/>
      <protection locked="0"/>
    </xf>
    <xf numFmtId="165" fontId="0" fillId="33" borderId="27" xfId="0" applyNumberFormat="1" applyFill="1" applyBorder="1" applyAlignment="1" applyProtection="1">
      <alignment/>
      <protection locked="0"/>
    </xf>
    <xf numFmtId="5" fontId="0" fillId="0" borderId="11" xfId="44" applyNumberFormat="1" applyFont="1" applyFill="1" applyBorder="1" applyAlignment="1" applyProtection="1">
      <alignment/>
      <protection/>
    </xf>
    <xf numFmtId="0" fontId="13" fillId="0" borderId="0" xfId="0" applyFont="1" applyAlignment="1">
      <alignment horizontal="center"/>
    </xf>
    <xf numFmtId="0" fontId="0" fillId="35" borderId="0" xfId="0" applyFill="1" applyAlignment="1">
      <alignment/>
    </xf>
    <xf numFmtId="164" fontId="7" fillId="35" borderId="14" xfId="0" applyNumberFormat="1" applyFont="1" applyFill="1" applyBorder="1" applyAlignment="1" applyProtection="1">
      <alignment/>
      <protection/>
    </xf>
    <xf numFmtId="0" fontId="7" fillId="36" borderId="28" xfId="0" applyFont="1" applyFill="1" applyBorder="1" applyAlignment="1">
      <alignment horizontal="left"/>
    </xf>
    <xf numFmtId="0" fontId="9" fillId="36" borderId="28" xfId="0" applyFont="1" applyFill="1" applyBorder="1" applyAlignment="1" quotePrefix="1">
      <alignment horizontal="left"/>
    </xf>
    <xf numFmtId="165" fontId="8" fillId="37" borderId="13" xfId="0" applyNumberFormat="1" applyFont="1" applyFill="1" applyBorder="1" applyAlignment="1" applyProtection="1">
      <alignment/>
      <protection/>
    </xf>
    <xf numFmtId="0" fontId="14" fillId="36" borderId="29" xfId="0" applyFont="1" applyFill="1" applyBorder="1" applyAlignment="1">
      <alignment horizontal="right"/>
    </xf>
    <xf numFmtId="0" fontId="14" fillId="36" borderId="30" xfId="0" applyFont="1" applyFill="1" applyBorder="1" applyAlignment="1">
      <alignment horizontal="right"/>
    </xf>
    <xf numFmtId="164" fontId="0" fillId="35" borderId="15" xfId="0" applyNumberFormat="1" applyFill="1" applyBorder="1" applyAlignment="1" applyProtection="1">
      <alignment/>
      <protection/>
    </xf>
    <xf numFmtId="164" fontId="7" fillId="35" borderId="15" xfId="0" applyNumberFormat="1" applyFont="1" applyFill="1" applyBorder="1" applyAlignment="1" applyProtection="1">
      <alignment/>
      <protection/>
    </xf>
    <xf numFmtId="165" fontId="7" fillId="35" borderId="15" xfId="0" applyNumberFormat="1" applyFont="1" applyFill="1" applyBorder="1" applyAlignment="1" applyProtection="1">
      <alignment/>
      <protection/>
    </xf>
    <xf numFmtId="0" fontId="15" fillId="0" borderId="0" xfId="0" applyFont="1" applyAlignment="1" applyProtection="1">
      <alignment/>
      <protection/>
    </xf>
    <xf numFmtId="164" fontId="7" fillId="35" borderId="15" xfId="0" applyNumberFormat="1" applyFont="1" applyFill="1" applyBorder="1" applyAlignment="1" applyProtection="1">
      <alignment horizontal="right"/>
      <protection/>
    </xf>
    <xf numFmtId="164" fontId="7" fillId="35" borderId="15" xfId="0" applyNumberFormat="1" applyFont="1" applyFill="1" applyBorder="1" applyAlignment="1" applyProtection="1">
      <alignment horizontal="center"/>
      <protection/>
    </xf>
    <xf numFmtId="164" fontId="4" fillId="38" borderId="0" xfId="0" applyNumberFormat="1" applyFont="1" applyFill="1" applyAlignment="1" applyProtection="1">
      <alignment/>
      <protection/>
    </xf>
    <xf numFmtId="164" fontId="7" fillId="35" borderId="31" xfId="0" applyNumberFormat="1" applyFont="1" applyFill="1" applyBorder="1" applyAlignment="1" applyProtection="1" quotePrefix="1">
      <alignment horizontal="left"/>
      <protection/>
    </xf>
    <xf numFmtId="164" fontId="7" fillId="35" borderId="32" xfId="0" applyNumberFormat="1" applyFont="1" applyFill="1" applyBorder="1" applyAlignment="1" applyProtection="1">
      <alignment horizontal="centerContinuous"/>
      <protection/>
    </xf>
    <xf numFmtId="164" fontId="7" fillId="35" borderId="33" xfId="0" applyNumberFormat="1" applyFont="1" applyFill="1" applyBorder="1" applyAlignment="1" applyProtection="1">
      <alignment horizontal="centerContinuous"/>
      <protection/>
    </xf>
    <xf numFmtId="164" fontId="4" fillId="35" borderId="17" xfId="0" applyNumberFormat="1" applyFont="1" applyFill="1" applyBorder="1" applyAlignment="1" applyProtection="1">
      <alignment/>
      <protection/>
    </xf>
    <xf numFmtId="0" fontId="7" fillId="35" borderId="12" xfId="0" applyFont="1" applyFill="1" applyBorder="1" applyAlignment="1" applyProtection="1">
      <alignment/>
      <protection/>
    </xf>
    <xf numFmtId="0" fontId="7" fillId="35" borderId="13" xfId="0" applyFont="1" applyFill="1" applyBorder="1" applyAlignment="1" applyProtection="1">
      <alignment horizontal="center"/>
      <protection/>
    </xf>
    <xf numFmtId="164" fontId="7" fillId="35" borderId="34" xfId="0" applyNumberFormat="1" applyFont="1" applyFill="1" applyBorder="1" applyAlignment="1" applyProtection="1" quotePrefix="1">
      <alignment horizontal="left"/>
      <protection/>
    </xf>
    <xf numFmtId="0" fontId="7" fillId="35" borderId="32" xfId="0" applyFont="1" applyFill="1" applyBorder="1" applyAlignment="1">
      <alignment horizontal="right" wrapText="1"/>
    </xf>
    <xf numFmtId="164" fontId="7" fillId="35" borderId="33" xfId="0" applyNumberFormat="1" applyFont="1" applyFill="1" applyBorder="1" applyAlignment="1" applyProtection="1">
      <alignment horizontal="center"/>
      <protection/>
    </xf>
    <xf numFmtId="5" fontId="0" fillId="0" borderId="12" xfId="0" applyNumberFormat="1" applyBorder="1" applyAlignment="1" applyProtection="1">
      <alignment/>
      <protection/>
    </xf>
    <xf numFmtId="0" fontId="1" fillId="0" borderId="0" xfId="0" applyFont="1" applyAlignment="1" quotePrefix="1">
      <alignment horizontal="left" wrapText="1" indent="2"/>
    </xf>
    <xf numFmtId="0" fontId="1" fillId="0" borderId="0" xfId="0" applyFont="1" applyAlignment="1">
      <alignment wrapText="1"/>
    </xf>
    <xf numFmtId="0" fontId="1" fillId="0" borderId="0" xfId="0" applyFont="1" applyAlignment="1" quotePrefix="1">
      <alignment horizontal="left" wrapText="1"/>
    </xf>
    <xf numFmtId="0" fontId="57" fillId="35" borderId="0" xfId="0" applyFont="1" applyFill="1" applyAlignment="1">
      <alignment horizontal="center"/>
    </xf>
    <xf numFmtId="0" fontId="12" fillId="0" borderId="0" xfId="0" applyFont="1" applyAlignment="1">
      <alignment horizontal="right" vertical="center"/>
    </xf>
    <xf numFmtId="0" fontId="11" fillId="39" borderId="35" xfId="0" applyFont="1" applyFill="1" applyBorder="1" applyAlignment="1">
      <alignment horizontal="center" vertical="center" wrapText="1"/>
    </xf>
    <xf numFmtId="0" fontId="11" fillId="39" borderId="36" xfId="0" applyFont="1" applyFill="1" applyBorder="1" applyAlignment="1">
      <alignment horizontal="center" vertical="center" wrapText="1"/>
    </xf>
    <xf numFmtId="0" fontId="11" fillId="39" borderId="37" xfId="0" applyFont="1" applyFill="1" applyBorder="1" applyAlignment="1">
      <alignment horizontal="center" vertical="center" wrapText="1"/>
    </xf>
    <xf numFmtId="0" fontId="0" fillId="40" borderId="38" xfId="0" applyFont="1" applyFill="1" applyBorder="1" applyAlignment="1">
      <alignment wrapText="1"/>
    </xf>
    <xf numFmtId="0" fontId="0" fillId="40" borderId="0" xfId="0" applyFont="1" applyFill="1" applyAlignment="1">
      <alignment wrapText="1"/>
    </xf>
    <xf numFmtId="0" fontId="0" fillId="0" borderId="0" xfId="0" applyAlignment="1" quotePrefix="1">
      <alignment horizontal="left" wrapText="1"/>
    </xf>
    <xf numFmtId="0" fontId="0" fillId="0" borderId="0" xfId="0" applyAlignment="1">
      <alignment wrapText="1"/>
    </xf>
    <xf numFmtId="164" fontId="6" fillId="0" borderId="0" xfId="0" applyNumberFormat="1" applyFont="1" applyAlignment="1" applyProtection="1">
      <alignment/>
      <protection/>
    </xf>
    <xf numFmtId="0" fontId="6" fillId="0" borderId="0" xfId="0" applyFont="1" applyAlignment="1">
      <alignment/>
    </xf>
    <xf numFmtId="164" fontId="3" fillId="0" borderId="12" xfId="0" applyNumberFormat="1" applyFont="1" applyBorder="1" applyAlignment="1" applyProtection="1">
      <alignment horizontal="center"/>
      <protection/>
    </xf>
    <xf numFmtId="0" fontId="58" fillId="35" borderId="0" xfId="0" applyFont="1" applyFill="1" applyAlignment="1" quotePrefix="1">
      <alignment horizontal="center"/>
    </xf>
    <xf numFmtId="0" fontId="58" fillId="35" borderId="0" xfId="0" applyFont="1" applyFill="1" applyAlignment="1">
      <alignment horizontal="center"/>
    </xf>
    <xf numFmtId="164" fontId="0" fillId="0" borderId="0" xfId="0" applyNumberFormat="1" applyAlignment="1" applyProtection="1" quotePrefix="1">
      <alignment horizontal="left" vertical="top" wrapText="1" indent="8"/>
      <protection/>
    </xf>
    <xf numFmtId="0" fontId="0" fillId="0" borderId="0" xfId="0" applyAlignment="1">
      <alignment vertical="top" wrapText="1"/>
    </xf>
    <xf numFmtId="164" fontId="0" fillId="0" borderId="0" xfId="0" applyNumberFormat="1" applyAlignment="1" applyProtection="1">
      <alignment horizontal="left" vertical="top" wrapText="1" indent="8"/>
      <protection/>
    </xf>
    <xf numFmtId="164" fontId="0" fillId="0" borderId="0" xfId="0" applyNumberFormat="1" applyAlignment="1" applyProtection="1">
      <alignment horizontal="left" wrapText="1" indent="8"/>
      <protection/>
    </xf>
    <xf numFmtId="0" fontId="0" fillId="0" borderId="0" xfId="0" applyAlignment="1">
      <alignment horizontal="left"/>
    </xf>
    <xf numFmtId="0" fontId="1" fillId="39" borderId="39" xfId="0" applyFont="1" applyFill="1" applyBorder="1" applyAlignment="1">
      <alignment horizontal="center"/>
    </xf>
    <xf numFmtId="0" fontId="1" fillId="39" borderId="38" xfId="0" applyFont="1" applyFill="1" applyBorder="1" applyAlignment="1">
      <alignment horizontal="center"/>
    </xf>
    <xf numFmtId="0" fontId="1" fillId="39" borderId="40" xfId="0" applyFont="1" applyFill="1" applyBorder="1" applyAlignment="1">
      <alignment horizontal="center"/>
    </xf>
    <xf numFmtId="0" fontId="1" fillId="39" borderId="41" xfId="0" applyFont="1" applyFill="1" applyBorder="1" applyAlignment="1">
      <alignment horizontal="center"/>
    </xf>
    <xf numFmtId="0" fontId="1" fillId="39" borderId="42" xfId="0" applyFont="1" applyFill="1" applyBorder="1" applyAlignment="1">
      <alignment horizontal="center"/>
    </xf>
    <xf numFmtId="0" fontId="1" fillId="39" borderId="4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Lease vs Purchase of Equipment</a:t>
            </a:r>
          </a:p>
        </c:rich>
      </c:tx>
      <c:layout>
        <c:manualLayout>
          <c:xMode val="factor"/>
          <c:yMode val="factor"/>
          <c:x val="0.021"/>
          <c:y val="-0.00175"/>
        </c:manualLayout>
      </c:layout>
      <c:spPr>
        <a:solidFill>
          <a:srgbClr val="FFFFFF"/>
        </a:solidFill>
        <a:ln w="12700">
          <a:solidFill>
            <a:srgbClr val="000000"/>
          </a:solidFill>
        </a:ln>
        <a:effectLst>
          <a:outerShdw dist="35921" dir="2700000" algn="br">
            <a:prstClr val="black"/>
          </a:outerShdw>
        </a:effectLst>
      </c:spPr>
    </c:title>
    <c:plotArea>
      <c:layout>
        <c:manualLayout>
          <c:xMode val="edge"/>
          <c:yMode val="edge"/>
          <c:x val="0.045"/>
          <c:y val="0.22975"/>
          <c:w val="0.84575"/>
          <c:h val="0.67975"/>
        </c:manualLayout>
      </c:layout>
      <c:barChart>
        <c:barDir val="col"/>
        <c:grouping val="clustered"/>
        <c:varyColors val="0"/>
        <c:ser>
          <c:idx val="0"/>
          <c:order val="0"/>
          <c:tx>
            <c:v>Purchase</c:v>
          </c:tx>
          <c:spPr>
            <a:solidFill>
              <a:srgbClr val="99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'Lease-Purchase'!$C$51:$M$51</c:f>
              <c:numCache>
                <c:ptCount val="11"/>
                <c:pt idx="0">
                  <c:v>1</c:v>
                </c:pt>
                <c:pt idx="1">
                  <c:v>2</c:v>
                </c:pt>
                <c:pt idx="2">
                  <c:v>3</c:v>
                </c:pt>
                <c:pt idx="3">
                  <c:v>4</c:v>
                </c:pt>
                <c:pt idx="4">
                  <c:v>5</c:v>
                </c:pt>
                <c:pt idx="5">
                  <c:v>6</c:v>
                </c:pt>
                <c:pt idx="6">
                  <c:v>7</c:v>
                </c:pt>
                <c:pt idx="7">
                  <c:v>8</c:v>
                </c:pt>
                <c:pt idx="8">
                  <c:v>9</c:v>
                </c:pt>
                <c:pt idx="9">
                  <c:v>10</c:v>
                </c:pt>
                <c:pt idx="10">
                  <c:v>11</c:v>
                </c:pt>
              </c:numCache>
            </c:numRef>
          </c:cat>
          <c:val>
            <c:numRef>
              <c:f>'Lease-Purchase'!$C$45:$M$45</c:f>
              <c:numCache>
                <c:ptCount val="11"/>
                <c:pt idx="0">
                  <c:v>-19968</c:v>
                </c:pt>
                <c:pt idx="1">
                  <c:v>-11467.66346522782</c:v>
                </c:pt>
                <c:pt idx="2">
                  <c:v>16190.81044625913</c:v>
                </c:pt>
                <c:pt idx="3">
                  <c:v>-2267.7427433609564</c:v>
                </c:pt>
                <c:pt idx="4">
                  <c:v>0</c:v>
                </c:pt>
                <c:pt idx="5">
                  <c:v>0</c:v>
                </c:pt>
                <c:pt idx="6">
                  <c:v>0</c:v>
                </c:pt>
                <c:pt idx="7">
                  <c:v>0</c:v>
                </c:pt>
                <c:pt idx="8">
                  <c:v>0</c:v>
                </c:pt>
                <c:pt idx="9">
                  <c:v>0</c:v>
                </c:pt>
                <c:pt idx="10">
                  <c:v>0</c:v>
                </c:pt>
              </c:numCache>
            </c:numRef>
          </c:val>
        </c:ser>
        <c:ser>
          <c:idx val="1"/>
          <c:order val="1"/>
          <c:tx>
            <c:v>Lease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'Lease-Purchase'!$C$51:$M$51</c:f>
              <c:numCache>
                <c:ptCount val="11"/>
                <c:pt idx="0">
                  <c:v>1</c:v>
                </c:pt>
                <c:pt idx="1">
                  <c:v>2</c:v>
                </c:pt>
                <c:pt idx="2">
                  <c:v>3</c:v>
                </c:pt>
                <c:pt idx="3">
                  <c:v>4</c:v>
                </c:pt>
                <c:pt idx="4">
                  <c:v>5</c:v>
                </c:pt>
                <c:pt idx="5">
                  <c:v>6</c:v>
                </c:pt>
                <c:pt idx="6">
                  <c:v>7</c:v>
                </c:pt>
                <c:pt idx="7">
                  <c:v>8</c:v>
                </c:pt>
                <c:pt idx="8">
                  <c:v>9</c:v>
                </c:pt>
                <c:pt idx="9">
                  <c:v>10</c:v>
                </c:pt>
                <c:pt idx="10">
                  <c:v>11</c:v>
                </c:pt>
              </c:numCache>
            </c:numRef>
          </c:cat>
          <c:val>
            <c:numRef>
              <c:f>'Lease-Purchase'!$C$46:$M$46</c:f>
              <c:numCache>
                <c:ptCount val="11"/>
                <c:pt idx="0">
                  <c:v>-11000</c:v>
                </c:pt>
                <c:pt idx="1">
                  <c:v>-7150</c:v>
                </c:pt>
                <c:pt idx="2">
                  <c:v>1964.8219114869385</c:v>
                </c:pt>
                <c:pt idx="3">
                  <c:v>4159.812330979572</c:v>
                </c:pt>
                <c:pt idx="4">
                  <c:v>0</c:v>
                </c:pt>
                <c:pt idx="5">
                  <c:v>0</c:v>
                </c:pt>
                <c:pt idx="6">
                  <c:v>0</c:v>
                </c:pt>
                <c:pt idx="7">
                  <c:v>0</c:v>
                </c:pt>
                <c:pt idx="8">
                  <c:v>0</c:v>
                </c:pt>
                <c:pt idx="9">
                  <c:v>0</c:v>
                </c:pt>
                <c:pt idx="10">
                  <c:v>0</c:v>
                </c:pt>
              </c:numCache>
            </c:numRef>
          </c:val>
        </c:ser>
        <c:axId val="61347532"/>
        <c:axId val="15256877"/>
      </c:barChart>
      <c:catAx>
        <c:axId val="61347532"/>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Year</a:t>
                </a:r>
              </a:p>
            </c:rich>
          </c:tx>
          <c:layout>
            <c:manualLayout>
              <c:xMode val="factor"/>
              <c:yMode val="factor"/>
              <c:x val="-0.00725"/>
              <c:y val="0.001"/>
            </c:manualLayout>
          </c:layout>
          <c:overlay val="0"/>
          <c:spPr>
            <a:noFill/>
            <a:ln>
              <a:noFill/>
            </a:ln>
          </c:spPr>
        </c:title>
        <c:delete val="0"/>
        <c:numFmt formatCode="General" sourceLinked="1"/>
        <c:majorTickMark val="none"/>
        <c:minorTickMark val="in"/>
        <c:tickLblPos val="low"/>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256877"/>
        <c:crosses val="autoZero"/>
        <c:auto val="0"/>
        <c:lblOffset val="100"/>
        <c:tickLblSkip val="1"/>
        <c:noMultiLvlLbl val="0"/>
      </c:catAx>
      <c:valAx>
        <c:axId val="1525687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Net Cash Flow</a:t>
                </a:r>
              </a:p>
            </c:rich>
          </c:tx>
          <c:layout>
            <c:manualLayout>
              <c:xMode val="factor"/>
              <c:yMode val="factor"/>
              <c:x val="-0.0165"/>
              <c:y val="-0.00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347532"/>
        <c:crossesAt val="1"/>
        <c:crossBetween val="between"/>
        <c:dispUnits/>
      </c:valAx>
      <c:spPr>
        <a:solidFill>
          <a:srgbClr val="FFFFFF"/>
        </a:solidFill>
        <a:ln w="12700">
          <a:solidFill>
            <a:srgbClr val="000000"/>
          </a:solidFill>
        </a:ln>
      </c:spPr>
    </c:plotArea>
    <c:legend>
      <c:legendPos val="t"/>
      <c:layout>
        <c:manualLayout>
          <c:xMode val="edge"/>
          <c:yMode val="edge"/>
          <c:x val="0.39675"/>
          <c:y val="0.1695"/>
          <c:w val="0.21025"/>
          <c:h val="0.0455"/>
        </c:manualLayout>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1285"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9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2</xdr:row>
      <xdr:rowOff>47625</xdr:rowOff>
    </xdr:from>
    <xdr:to>
      <xdr:col>7</xdr:col>
      <xdr:colOff>304800</xdr:colOff>
      <xdr:row>5</xdr:row>
      <xdr:rowOff>85725</xdr:rowOff>
    </xdr:to>
    <xdr:pic>
      <xdr:nvPicPr>
        <xdr:cNvPr id="1" name="Picture 2" descr="COMAG LOGO"/>
        <xdr:cNvPicPr preferRelativeResize="1">
          <a:picLocks noChangeAspect="1"/>
        </xdr:cNvPicPr>
      </xdr:nvPicPr>
      <xdr:blipFill>
        <a:blip r:embed="rId1"/>
        <a:stretch>
          <a:fillRect/>
        </a:stretch>
      </xdr:blipFill>
      <xdr:spPr>
        <a:xfrm>
          <a:off x="4781550" y="504825"/>
          <a:ext cx="17907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37"/>
  <sheetViews>
    <sheetView showGridLines="0" tabSelected="1" zoomScalePageLayoutView="0" workbookViewId="0" topLeftCell="A1">
      <selection activeCell="A1" sqref="A1"/>
    </sheetView>
  </sheetViews>
  <sheetFormatPr defaultColWidth="8.88671875" defaultRowHeight="15"/>
  <cols>
    <col min="1" max="1" width="2.5546875" style="0" customWidth="1"/>
    <col min="2" max="2" width="25.3359375" style="0" customWidth="1"/>
    <col min="7" max="7" width="9.6640625" style="0" customWidth="1"/>
    <col min="14" max="14" width="11.77734375" style="0" customWidth="1"/>
  </cols>
  <sheetData>
    <row r="1" spans="2:8" ht="20.25">
      <c r="B1" s="129" t="s">
        <v>0</v>
      </c>
      <c r="C1" s="129"/>
      <c r="D1" s="129"/>
      <c r="E1" s="129"/>
      <c r="F1" s="129"/>
      <c r="G1" s="129"/>
      <c r="H1" s="129"/>
    </row>
    <row r="2" spans="2:8" s="74" customFormat="1" ht="15.75" customHeight="1">
      <c r="B2" s="130" t="s">
        <v>147</v>
      </c>
      <c r="C2" s="130"/>
      <c r="D2" s="130"/>
      <c r="E2" s="130"/>
      <c r="F2" s="130"/>
      <c r="G2" s="130"/>
      <c r="H2" s="130"/>
    </row>
    <row r="3" spans="3:8" s="74" customFormat="1" ht="15.75">
      <c r="C3" s="101" t="s">
        <v>148</v>
      </c>
      <c r="D3" s="73"/>
      <c r="E3" s="73"/>
      <c r="F3" s="73"/>
      <c r="G3" s="73"/>
      <c r="H3" s="73"/>
    </row>
    <row r="4" spans="3:8" ht="15">
      <c r="C4" s="101" t="s">
        <v>122</v>
      </c>
      <c r="D4" s="3"/>
      <c r="E4" s="3"/>
      <c r="F4" s="3"/>
      <c r="G4" s="3"/>
      <c r="H4" s="3"/>
    </row>
    <row r="5" spans="3:8" ht="15">
      <c r="C5" s="101" t="s">
        <v>123</v>
      </c>
      <c r="D5" s="3"/>
      <c r="E5" s="3"/>
      <c r="F5" s="3"/>
      <c r="G5" s="3"/>
      <c r="H5" s="3"/>
    </row>
    <row r="6" spans="2:8" ht="15">
      <c r="B6" s="3"/>
      <c r="C6" s="3"/>
      <c r="D6" s="3"/>
      <c r="E6" s="3"/>
      <c r="F6" s="3"/>
      <c r="G6" s="3"/>
      <c r="H6" s="3"/>
    </row>
    <row r="7" spans="2:8" ht="15">
      <c r="B7" s="3"/>
      <c r="C7" s="3"/>
      <c r="D7" s="3"/>
      <c r="E7" s="3"/>
      <c r="F7" s="3"/>
      <c r="G7" s="3"/>
      <c r="H7" s="3"/>
    </row>
    <row r="8" spans="2:8" ht="15">
      <c r="B8" s="148" t="s">
        <v>124</v>
      </c>
      <c r="C8" s="149"/>
      <c r="D8" s="149"/>
      <c r="E8" s="149"/>
      <c r="F8" s="149"/>
      <c r="G8" s="149"/>
      <c r="H8" s="150"/>
    </row>
    <row r="9" spans="2:8" ht="15">
      <c r="B9" s="151" t="s">
        <v>1</v>
      </c>
      <c r="C9" s="152"/>
      <c r="D9" s="152"/>
      <c r="E9" s="152"/>
      <c r="F9" s="152"/>
      <c r="G9" s="152"/>
      <c r="H9" s="153"/>
    </row>
    <row r="10" spans="2:8" ht="15">
      <c r="B10" s="147"/>
      <c r="C10" s="3"/>
      <c r="D10" s="3"/>
      <c r="E10" s="3"/>
      <c r="F10" s="3"/>
      <c r="G10" s="3"/>
      <c r="H10" s="3"/>
    </row>
    <row r="11" spans="2:8" ht="15.75">
      <c r="B11" s="36" t="s">
        <v>2</v>
      </c>
      <c r="C11" s="20"/>
      <c r="D11" s="20"/>
      <c r="E11" s="20"/>
      <c r="F11" s="20"/>
      <c r="G11" s="20"/>
      <c r="H11" s="3"/>
    </row>
    <row r="12" spans="2:8" ht="15">
      <c r="B12" s="46" t="s">
        <v>3</v>
      </c>
      <c r="C12" s="126" t="s">
        <v>4</v>
      </c>
      <c r="D12" s="127"/>
      <c r="E12" s="127"/>
      <c r="F12" s="127"/>
      <c r="G12" s="43"/>
      <c r="H12" s="3"/>
    </row>
    <row r="13" spans="3:6" ht="15">
      <c r="C13" s="127"/>
      <c r="D13" s="127"/>
      <c r="E13" s="127"/>
      <c r="F13" s="127"/>
    </row>
    <row r="15" spans="2:8" ht="42" customHeight="1">
      <c r="B15" s="128" t="s">
        <v>109</v>
      </c>
      <c r="C15" s="127"/>
      <c r="D15" s="127"/>
      <c r="E15" s="127"/>
      <c r="F15" s="127"/>
      <c r="G15" s="127"/>
      <c r="H15" s="127"/>
    </row>
    <row r="17" spans="2:8" ht="15">
      <c r="B17" s="131" t="s">
        <v>141</v>
      </c>
      <c r="C17" s="132"/>
      <c r="D17" s="132"/>
      <c r="E17" s="132"/>
      <c r="F17" s="132"/>
      <c r="G17" s="132"/>
      <c r="H17" s="133"/>
    </row>
    <row r="18" ht="9" customHeight="1"/>
    <row r="19" spans="2:8" ht="15">
      <c r="B19" s="102"/>
      <c r="C19" s="102"/>
      <c r="D19" s="102"/>
      <c r="E19" s="102"/>
      <c r="F19" s="102"/>
      <c r="G19" s="102"/>
      <c r="H19" s="102"/>
    </row>
    <row r="23" spans="2:11" ht="15">
      <c r="B23" s="18"/>
      <c r="C23" s="18"/>
      <c r="D23" s="19" t="s">
        <v>72</v>
      </c>
      <c r="E23" s="18"/>
      <c r="F23" s="18"/>
      <c r="G23" s="18"/>
      <c r="H23" s="18"/>
      <c r="I23" s="18"/>
      <c r="J23" s="18"/>
      <c r="K23" s="5"/>
    </row>
    <row r="24" spans="2:15" ht="30">
      <c r="B24" s="18"/>
      <c r="C24" s="18"/>
      <c r="D24" s="19" t="s">
        <v>73</v>
      </c>
      <c r="E24" s="19" t="s">
        <v>74</v>
      </c>
      <c r="F24" s="19" t="s">
        <v>75</v>
      </c>
      <c r="G24" s="19" t="s">
        <v>76</v>
      </c>
      <c r="H24" s="19" t="s">
        <v>77</v>
      </c>
      <c r="I24" s="19" t="s">
        <v>78</v>
      </c>
      <c r="J24" s="32" t="s">
        <v>134</v>
      </c>
      <c r="K24" s="32" t="s">
        <v>135</v>
      </c>
      <c r="L24" s="85" t="s">
        <v>144</v>
      </c>
      <c r="M24" s="86" t="s">
        <v>79</v>
      </c>
      <c r="N24" s="32" t="s">
        <v>136</v>
      </c>
      <c r="O24" s="87" t="s">
        <v>80</v>
      </c>
    </row>
    <row r="25" spans="2:15" ht="18">
      <c r="B25" s="112" t="s">
        <v>3</v>
      </c>
      <c r="C25" s="18"/>
      <c r="D25" s="18">
        <v>0.976</v>
      </c>
      <c r="E25" s="18">
        <v>-0.119</v>
      </c>
      <c r="F25" s="18">
        <v>0.5</v>
      </c>
      <c r="G25" s="18">
        <v>-0.0019</v>
      </c>
      <c r="H25" s="18">
        <v>0.5</v>
      </c>
      <c r="I25" s="18">
        <v>2</v>
      </c>
      <c r="J25" s="91">
        <f>'Lease-Purchase'!$C$13</f>
        <v>0</v>
      </c>
      <c r="K25" s="92">
        <f>IF(J25&gt;0,(D25+E25*J25^F25+G25*'Lease-Purchase'!$C$28^H25)^I25,1)</f>
        <v>1</v>
      </c>
      <c r="L25">
        <f>'Lease-Purchase'!$C$16</f>
        <v>2</v>
      </c>
      <c r="M25" s="39">
        <f>(D25+E25*L25^F25+G25*'Lease-Purchase'!$C$28^H25)^I25</f>
        <v>0.5924513074815807</v>
      </c>
      <c r="N25">
        <f>'Lease-Purchase'!$G$14</f>
        <v>2</v>
      </c>
      <c r="O25" s="40">
        <f>(D25+E25*N25^F25+G25*'Lease-Purchase'!$G$22^H25)^I25</f>
        <v>0.5924513074815807</v>
      </c>
    </row>
    <row r="26" spans="2:15" ht="18">
      <c r="B26" s="112" t="s">
        <v>81</v>
      </c>
      <c r="C26" s="18"/>
      <c r="D26" s="38">
        <v>0.981</v>
      </c>
      <c r="E26" s="18">
        <v>-0.093</v>
      </c>
      <c r="F26" s="18">
        <v>0.5</v>
      </c>
      <c r="G26">
        <v>-0.0058</v>
      </c>
      <c r="H26" s="18">
        <v>0.5</v>
      </c>
      <c r="I26" s="18">
        <v>2</v>
      </c>
      <c r="J26" s="91">
        <f>'Lease-Purchase'!$C$13</f>
        <v>0</v>
      </c>
      <c r="K26" s="92">
        <f>IF(J26&gt;0,(D26+E26*J26^F26+G26*'Lease-Purchase'!$C$28^H26)^I26,1)</f>
        <v>1</v>
      </c>
      <c r="L26">
        <f>'Lease-Purchase'!$C$16</f>
        <v>2</v>
      </c>
      <c r="M26" s="39">
        <f>(D26+E26*L26^F26+G26*'Lease-Purchase'!$C$28^H26)^I26</f>
        <v>0.5379901799497927</v>
      </c>
      <c r="N26">
        <f>'Lease-Purchase'!$G$14</f>
        <v>2</v>
      </c>
      <c r="O26" s="40">
        <f>(D26+E26*N26^F26+G26*'Lease-Purchase'!$G$22^H26)^I26</f>
        <v>0.5379901799497927</v>
      </c>
    </row>
    <row r="27" spans="2:15" ht="18">
      <c r="B27" s="112" t="s">
        <v>82</v>
      </c>
      <c r="C27" s="18"/>
      <c r="D27" s="18">
        <v>0.942</v>
      </c>
      <c r="E27" s="18">
        <v>-0.1</v>
      </c>
      <c r="F27" s="18">
        <v>0.5</v>
      </c>
      <c r="G27" s="18">
        <v>-0.0008</v>
      </c>
      <c r="H27" s="18">
        <v>0.5</v>
      </c>
      <c r="I27" s="18">
        <v>2</v>
      </c>
      <c r="J27" s="91">
        <f>'Lease-Purchase'!$C$13</f>
        <v>0</v>
      </c>
      <c r="K27" s="92">
        <f>IF(J27&gt;0,(D27+E27*J27^F27+G27*'Lease-Purchase'!$C$28^H27)^I27,1)</f>
        <v>1</v>
      </c>
      <c r="L27">
        <f>'Lease-Purchase'!$C$16</f>
        <v>2</v>
      </c>
      <c r="M27" s="39">
        <f>(D27+E27*L27^F27+G27*'Lease-Purchase'!$C$28^H27)^I27</f>
        <v>0.6155636482485026</v>
      </c>
      <c r="N27">
        <f>'Lease-Purchase'!$G$14</f>
        <v>2</v>
      </c>
      <c r="O27" s="40">
        <f>(D27+E27*N27^F27+G27*'Lease-Purchase'!$G$22^H27)^I27</f>
        <v>0.6155636482485026</v>
      </c>
    </row>
    <row r="28" spans="2:15" ht="18">
      <c r="B28" s="112" t="s">
        <v>83</v>
      </c>
      <c r="C28" s="18"/>
      <c r="D28" s="18">
        <v>0.852</v>
      </c>
      <c r="E28" s="18">
        <v>-0.101</v>
      </c>
      <c r="F28" s="18">
        <v>0.5</v>
      </c>
      <c r="G28" s="18">
        <v>0</v>
      </c>
      <c r="H28" s="18">
        <v>0.5</v>
      </c>
      <c r="I28" s="18">
        <v>2</v>
      </c>
      <c r="J28" s="91">
        <f>'Lease-Purchase'!$C$13</f>
        <v>0</v>
      </c>
      <c r="K28" s="92">
        <f>IF(J28&gt;0,(D28+E28*J28^F28+G28*'Lease-Purchase'!$C$28^H28)^I28,1)</f>
        <v>1</v>
      </c>
      <c r="L28">
        <f>'Lease-Purchase'!$C$16</f>
        <v>2</v>
      </c>
      <c r="M28" s="39">
        <f>(D28+E28*L28^F28+G28*'Lease-Purchase'!$C$28^H28)^I28</f>
        <v>0.5029141890613408</v>
      </c>
      <c r="N28">
        <f>'Lease-Purchase'!$G$14</f>
        <v>2</v>
      </c>
      <c r="O28" s="40">
        <f>(D28+E28*N28^F28+G28*'Lease-Purchase'!$G$22^H28)^I28</f>
        <v>0.5029141890613408</v>
      </c>
    </row>
    <row r="29" spans="2:15" ht="18">
      <c r="B29" s="112" t="s">
        <v>84</v>
      </c>
      <c r="C29" s="18"/>
      <c r="D29" s="18">
        <v>1.132</v>
      </c>
      <c r="E29" s="18">
        <v>-0.165</v>
      </c>
      <c r="F29" s="18">
        <v>0.5</v>
      </c>
      <c r="G29" s="18">
        <v>-0.0079</v>
      </c>
      <c r="H29" s="18">
        <v>0.5</v>
      </c>
      <c r="I29" s="18">
        <v>2</v>
      </c>
      <c r="J29" s="91">
        <f>'Lease-Purchase'!$C$13</f>
        <v>0</v>
      </c>
      <c r="K29" s="92">
        <f>IF(J29&gt;0,(D29+E29*J29^F29+G29*'Lease-Purchase'!$C$28^H29)^I29,1)</f>
        <v>1</v>
      </c>
      <c r="L29">
        <f>'Lease-Purchase'!$C$16</f>
        <v>2</v>
      </c>
      <c r="M29" s="39">
        <f>(D29+E29*L29^F29+G29*'Lease-Purchase'!$C$28^H29)^I29</f>
        <v>0.5485694767820396</v>
      </c>
      <c r="N29">
        <f>'Lease-Purchase'!$G$14</f>
        <v>2</v>
      </c>
      <c r="O29" s="40">
        <f>(D29+E29*N29^F29+G29*'Lease-Purchase'!$G$22^H29)^I29</f>
        <v>0.5485694767820396</v>
      </c>
    </row>
    <row r="30" spans="2:15" ht="18">
      <c r="B30" s="112" t="s">
        <v>85</v>
      </c>
      <c r="C30" s="18"/>
      <c r="D30" s="18">
        <v>0.891</v>
      </c>
      <c r="E30" s="18">
        <v>-0.11</v>
      </c>
      <c r="F30" s="18">
        <v>0.5</v>
      </c>
      <c r="G30" s="18">
        <v>0</v>
      </c>
      <c r="H30" s="18">
        <v>0.5</v>
      </c>
      <c r="I30" s="18">
        <v>2</v>
      </c>
      <c r="J30" s="91">
        <f>'Lease-Purchase'!$C$13</f>
        <v>0</v>
      </c>
      <c r="K30" s="92">
        <f>IF(J30&gt;0,(D30+E30*J30^F30+G30*'Lease-Purchase'!$C$28^H30)^I30,1)</f>
        <v>1</v>
      </c>
      <c r="L30">
        <f>'Lease-Purchase'!$C$16</f>
        <v>2</v>
      </c>
      <c r="M30" s="39">
        <f>(D30+E30*L30^F30+G30*'Lease-Purchase'!$C$28^H30)^I30</f>
        <v>0.540866857503626</v>
      </c>
      <c r="N30">
        <f>'Lease-Purchase'!$G$14</f>
        <v>2</v>
      </c>
      <c r="O30" s="40">
        <f>(D30+E30*N30^F30+G30*'Lease-Purchase'!$G$22^H30)^I30</f>
        <v>0.540866857503626</v>
      </c>
    </row>
    <row r="31" spans="2:15" ht="18">
      <c r="B31" s="112" t="s">
        <v>86</v>
      </c>
      <c r="C31" s="18"/>
      <c r="D31" s="18">
        <v>0.943</v>
      </c>
      <c r="E31" s="18">
        <v>-0.111</v>
      </c>
      <c r="F31" s="18">
        <v>0.5</v>
      </c>
      <c r="G31">
        <v>0</v>
      </c>
      <c r="H31" s="18">
        <v>0.5</v>
      </c>
      <c r="I31" s="18">
        <v>2</v>
      </c>
      <c r="J31" s="91">
        <f>'Lease-Purchase'!$C$13</f>
        <v>0</v>
      </c>
      <c r="K31" s="92">
        <f>IF(J31&gt;0,(D31+E31*J31^F31+G31*'Lease-Purchase'!$C$28^H31)^I31,1)</f>
        <v>1</v>
      </c>
      <c r="L31">
        <f>'Lease-Purchase'!$C$16</f>
        <v>2</v>
      </c>
      <c r="M31" s="39">
        <f>(D31+E31*L31^F31+G31*'Lease-Purchase'!$C$28^H31)^I31</f>
        <v>0.617831047571442</v>
      </c>
      <c r="N31">
        <f>'Lease-Purchase'!$G$14</f>
        <v>2</v>
      </c>
      <c r="O31" s="40">
        <f>(D31+E31*N31^F31+G31*'Lease-Purchase'!$G$22^H31)^I31</f>
        <v>0.617831047571442</v>
      </c>
    </row>
    <row r="32" spans="2:15" ht="18">
      <c r="B32" s="112" t="s">
        <v>87</v>
      </c>
      <c r="C32" s="18"/>
      <c r="D32" s="18">
        <v>0.883</v>
      </c>
      <c r="E32" s="18">
        <v>-0.078</v>
      </c>
      <c r="F32" s="18">
        <v>0.5</v>
      </c>
      <c r="G32" s="18">
        <v>0</v>
      </c>
      <c r="H32" s="18">
        <v>0.5</v>
      </c>
      <c r="I32" s="18">
        <v>2</v>
      </c>
      <c r="J32" s="91">
        <f>'Lease-Purchase'!$C$13</f>
        <v>0</v>
      </c>
      <c r="K32" s="92">
        <f>IF(J32&gt;0,(D32+E32*J32^F32+G32*'Lease-Purchase'!$C$28^H32)^I32,1)</f>
        <v>1</v>
      </c>
      <c r="L32">
        <f>'Lease-Purchase'!$C$16</f>
        <v>2</v>
      </c>
      <c r="M32" s="39">
        <f>(D32+E32*L32^F32+G32*'Lease-Purchase'!$C$28^H32)^I32</f>
        <v>0.5970519102102309</v>
      </c>
      <c r="N32">
        <f>'Lease-Purchase'!$G$14</f>
        <v>2</v>
      </c>
      <c r="O32" s="40">
        <f>(D32+E32*N32^F32+G32*'Lease-Purchase'!$G$22^H32)^I32</f>
        <v>0.5970519102102309</v>
      </c>
    </row>
    <row r="33" spans="2:15" ht="18">
      <c r="B33" s="112" t="s">
        <v>88</v>
      </c>
      <c r="C33" s="18">
        <v>30</v>
      </c>
      <c r="D33" s="18">
        <v>0.738</v>
      </c>
      <c r="E33" s="18">
        <v>-0.051</v>
      </c>
      <c r="F33" s="18">
        <v>0.5</v>
      </c>
      <c r="G33">
        <v>0</v>
      </c>
      <c r="H33" s="18">
        <v>0.5</v>
      </c>
      <c r="I33" s="18">
        <v>2</v>
      </c>
      <c r="J33" s="91">
        <f>'Lease-Purchase'!$C$13</f>
        <v>0</v>
      </c>
      <c r="K33" s="92">
        <f>IF(J33&gt;0,(D33+E33*J33^F33+G33*'Lease-Purchase'!$C$28^H33)^I33,1)</f>
        <v>1</v>
      </c>
      <c r="L33">
        <f>'Lease-Purchase'!$C$16</f>
        <v>2</v>
      </c>
      <c r="M33" s="39">
        <f>(D33+E33*L33^F33+G33*'Lease-Purchase'!$C$28^H33)^I33</f>
        <v>0.44338965987880286</v>
      </c>
      <c r="N33">
        <f>'Lease-Purchase'!$G$14</f>
        <v>2</v>
      </c>
      <c r="O33" s="40">
        <f>(D33+E33*N33^F33+G33*'Lease-Purchase'!$G$22^H33)^I33</f>
        <v>0.44338965987880286</v>
      </c>
    </row>
    <row r="34" spans="2:15" ht="18">
      <c r="B34" s="112" t="s">
        <v>89</v>
      </c>
      <c r="C34" s="18">
        <v>80</v>
      </c>
      <c r="D34" s="18">
        <v>0.786</v>
      </c>
      <c r="E34" s="18">
        <v>-0.063</v>
      </c>
      <c r="F34" s="18">
        <v>0.5</v>
      </c>
      <c r="G34">
        <v>-0.0033</v>
      </c>
      <c r="H34" s="18">
        <v>0.5</v>
      </c>
      <c r="I34" s="18">
        <v>2</v>
      </c>
      <c r="J34" s="91">
        <f>'Lease-Purchase'!$C$13</f>
        <v>0</v>
      </c>
      <c r="K34" s="92">
        <f>IF(J34&gt;0,(D34+E34*J34^F34+G34*'Lease-Purchase'!$C$28^H34)^I34,1)</f>
        <v>1</v>
      </c>
      <c r="L34">
        <f>'Lease-Purchase'!$C$16</f>
        <v>2</v>
      </c>
      <c r="M34" s="39">
        <f>(D34+E34*L34^F34+G34*'Lease-Purchase'!$C$28^H34)^I34</f>
        <v>0.398040545621513</v>
      </c>
      <c r="N34">
        <f>'Lease-Purchase'!$G$14</f>
        <v>2</v>
      </c>
      <c r="O34" s="40">
        <f>(D34+E34*N34^F34+G34*'Lease-Purchase'!$G$22^H34)^I34</f>
        <v>0.398040545621513</v>
      </c>
    </row>
    <row r="35" spans="2:15" ht="18">
      <c r="B35" s="112" t="s">
        <v>90</v>
      </c>
      <c r="C35" s="18">
        <v>150</v>
      </c>
      <c r="D35">
        <v>0.791</v>
      </c>
      <c r="E35" s="18">
        <v>-0.091</v>
      </c>
      <c r="F35" s="18">
        <v>0.5</v>
      </c>
      <c r="G35">
        <v>0</v>
      </c>
      <c r="H35" s="18">
        <v>0.5</v>
      </c>
      <c r="I35" s="18">
        <v>2</v>
      </c>
      <c r="J35" s="91">
        <f>'Lease-Purchase'!$C$13</f>
        <v>0</v>
      </c>
      <c r="K35" s="92">
        <f>IF(J35&gt;0,(D35+E35*J35^F35+G35*'Lease-Purchase'!$C$28^H35)^I35,1)</f>
        <v>1</v>
      </c>
      <c r="L35">
        <f>'Lease-Purchase'!$C$16</f>
        <v>2</v>
      </c>
      <c r="M35" s="39">
        <f>(D35+E35*L35^F35+G35*'Lease-Purchase'!$C$28^H35)^I35</f>
        <v>0.4386499871336445</v>
      </c>
      <c r="N35">
        <f>'Lease-Purchase'!$G$14</f>
        <v>2</v>
      </c>
      <c r="O35" s="40">
        <f>(D35+E35*N35^F35+G35*'Lease-Purchase'!$G$22^H35)^I35</f>
        <v>0.4386499871336445</v>
      </c>
    </row>
    <row r="36" spans="2:11" ht="15.75" thickBot="1">
      <c r="B36" s="5"/>
      <c r="C36" s="5"/>
      <c r="D36" s="5"/>
      <c r="E36" s="5"/>
      <c r="F36" s="5"/>
      <c r="G36" s="5"/>
      <c r="H36" s="5"/>
      <c r="I36" s="5"/>
      <c r="J36" s="5"/>
      <c r="K36" s="5"/>
    </row>
    <row r="37" spans="2:11" ht="15.75" thickBot="1">
      <c r="B37" s="13" t="s">
        <v>91</v>
      </c>
      <c r="C37" s="14">
        <v>10.71</v>
      </c>
      <c r="D37" s="14">
        <v>19.13</v>
      </c>
      <c r="E37" s="14">
        <v>15.03</v>
      </c>
      <c r="F37" s="14">
        <v>12.25</v>
      </c>
      <c r="G37" s="14">
        <v>12.25</v>
      </c>
      <c r="H37" s="14">
        <v>12.25</v>
      </c>
      <c r="I37" s="14">
        <v>12.25</v>
      </c>
      <c r="J37" s="14">
        <v>6.13</v>
      </c>
      <c r="K37" s="15"/>
    </row>
  </sheetData>
  <sheetProtection sheet="1"/>
  <mergeCells count="7">
    <mergeCell ref="C12:F13"/>
    <mergeCell ref="B15:H15"/>
    <mergeCell ref="B1:H1"/>
    <mergeCell ref="B2:H2"/>
    <mergeCell ref="B17:H17"/>
    <mergeCell ref="B8:H8"/>
    <mergeCell ref="B9:H9"/>
  </mergeCells>
  <dataValidations count="1">
    <dataValidation type="list" allowBlank="1" showInputMessage="1" showErrorMessage="1" sqref="B12">
      <formula1>$B$25:$B$35</formula1>
    </dataValidation>
  </dataValidations>
  <printOptions/>
  <pageMargins left="0.75" right="0.75" top="1" bottom="1" header="0.5" footer="0.5"/>
  <pageSetup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dimension ref="B1:I12"/>
  <sheetViews>
    <sheetView showGridLines="0" zoomScale="85" zoomScaleNormal="85" zoomScalePageLayoutView="0" workbookViewId="0" topLeftCell="A1">
      <selection activeCell="A1" sqref="A1"/>
    </sheetView>
  </sheetViews>
  <sheetFormatPr defaultColWidth="8.88671875" defaultRowHeight="15"/>
  <cols>
    <col min="1" max="1" width="2.88671875" style="0" customWidth="1"/>
    <col min="2" max="2" width="21.77734375" style="0" customWidth="1"/>
    <col min="3" max="3" width="9.99609375" style="0" customWidth="1"/>
    <col min="4" max="4" width="11.99609375" style="0" customWidth="1"/>
    <col min="5" max="5" width="10.77734375" style="0" customWidth="1"/>
  </cols>
  <sheetData>
    <row r="1" spans="2:9" ht="49.5" customHeight="1">
      <c r="B1" s="136" t="s">
        <v>110</v>
      </c>
      <c r="C1" s="137"/>
      <c r="D1" s="137"/>
      <c r="E1" s="137"/>
      <c r="F1" s="137"/>
      <c r="G1" s="137"/>
      <c r="H1" s="32"/>
      <c r="I1" s="32"/>
    </row>
    <row r="2" spans="2:5" ht="15.75" thickBot="1">
      <c r="B2" s="44"/>
      <c r="C2" s="44"/>
      <c r="D2" s="44"/>
      <c r="E2" s="67"/>
    </row>
    <row r="3" spans="2:5" ht="16.5" thickBot="1">
      <c r="B3" s="103"/>
      <c r="C3" s="107" t="s">
        <v>107</v>
      </c>
      <c r="D3" s="108" t="s">
        <v>108</v>
      </c>
      <c r="E3" s="41"/>
    </row>
    <row r="4" spans="2:4" ht="15">
      <c r="B4" s="23" t="s">
        <v>16</v>
      </c>
      <c r="C4" s="69">
        <v>300</v>
      </c>
      <c r="D4" s="70">
        <v>500</v>
      </c>
    </row>
    <row r="5" spans="2:4" ht="15">
      <c r="B5" s="66" t="s">
        <v>14</v>
      </c>
      <c r="C5" s="27">
        <v>13625</v>
      </c>
      <c r="D5" s="29">
        <v>16250</v>
      </c>
    </row>
    <row r="6" spans="2:4" ht="15">
      <c r="B6" s="66" t="s">
        <v>19</v>
      </c>
      <c r="C6" s="63"/>
      <c r="D6" s="71">
        <v>0.1067</v>
      </c>
    </row>
    <row r="7" spans="2:4" ht="15">
      <c r="B7" s="66" t="s">
        <v>21</v>
      </c>
      <c r="C7" s="64"/>
      <c r="D7" s="70">
        <v>225</v>
      </c>
    </row>
    <row r="8" spans="2:4" ht="18.75" customHeight="1" thickBot="1">
      <c r="B8" s="68" t="s">
        <v>106</v>
      </c>
      <c r="C8" s="65"/>
      <c r="D8" s="106">
        <f>(MAX(C5,D5)-MIN(C5,D5))/(D6*D7)+MIN(C4,D4)</f>
        <v>409.3408309903155</v>
      </c>
    </row>
    <row r="9" ht="15.75" thickBot="1"/>
    <row r="10" spans="2:5" ht="15.75">
      <c r="B10" s="104" t="s">
        <v>111</v>
      </c>
      <c r="C10" s="105"/>
      <c r="D10" s="105"/>
      <c r="E10" s="105"/>
    </row>
    <row r="11" spans="2:5" ht="15" customHeight="1">
      <c r="B11" s="134" t="str">
        <f>CONCATENATE("If you think you will use the equipment for less than "&amp;ROUND(D8,)&amp;" hours per year the "&amp;C4&amp;" hour lease is less expensive than the "&amp;ROUND(D4,0)&amp;" lease.")</f>
        <v>If you think you will use the equipment for less than 409 hours per year the 300 hour lease is less expensive than the 500 lease.</v>
      </c>
      <c r="C11" s="134"/>
      <c r="D11" s="134"/>
      <c r="E11" s="134"/>
    </row>
    <row r="12" spans="2:5" ht="15">
      <c r="B12" s="135"/>
      <c r="C12" s="135"/>
      <c r="D12" s="135"/>
      <c r="E12" s="135"/>
    </row>
  </sheetData>
  <sheetProtection sheet="1"/>
  <mergeCells count="2">
    <mergeCell ref="B11:E12"/>
    <mergeCell ref="B1:G1"/>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IV118"/>
  <sheetViews>
    <sheetView showGridLines="0" defaultGridColor="0" zoomScale="85" zoomScaleNormal="85" zoomScalePageLayoutView="0" colorId="22" workbookViewId="0" topLeftCell="A1">
      <selection activeCell="A1" sqref="A1"/>
    </sheetView>
  </sheetViews>
  <sheetFormatPr defaultColWidth="9.77734375" defaultRowHeight="15"/>
  <cols>
    <col min="1" max="1" width="2.77734375" style="0" customWidth="1"/>
    <col min="2" max="2" width="28.21484375" style="5" customWidth="1"/>
    <col min="3" max="12" width="11.77734375" style="5" customWidth="1"/>
    <col min="13" max="14" width="9.77734375" style="5" customWidth="1"/>
    <col min="15" max="15" width="11.5546875" style="5" customWidth="1"/>
    <col min="16" max="16" width="10.77734375" style="5" customWidth="1"/>
    <col min="17" max="20" width="9.77734375" style="5" customWidth="1"/>
    <col min="21" max="21" width="9.99609375" style="5" bestFit="1" customWidth="1"/>
    <col min="22" max="16384" width="9.77734375" style="5" customWidth="1"/>
  </cols>
  <sheetData>
    <row r="1" spans="2:256" ht="23.25">
      <c r="B1" s="141" t="s">
        <v>149</v>
      </c>
      <c r="C1" s="142"/>
      <c r="D1" s="142"/>
      <c r="E1" s="142"/>
      <c r="F1" s="142"/>
      <c r="G1" s="142"/>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9:256" ht="15">
      <c r="I2" s="3"/>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2:256" ht="15">
      <c r="B3" s="5" t="s">
        <v>93</v>
      </c>
      <c r="I3" s="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2:256" ht="64.5" customHeight="1">
      <c r="B4" s="143" t="s">
        <v>146</v>
      </c>
      <c r="C4" s="144"/>
      <c r="D4" s="144"/>
      <c r="E4" s="144"/>
      <c r="F4" s="144"/>
      <c r="G4" s="144"/>
      <c r="I4" s="3"/>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34.5" customHeight="1">
      <c r="B5" s="143" t="s">
        <v>112</v>
      </c>
      <c r="C5" s="145"/>
      <c r="D5" s="145"/>
      <c r="E5" s="145"/>
      <c r="F5" s="145"/>
      <c r="G5" s="145"/>
      <c r="I5" s="3"/>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256" ht="47.25" customHeight="1">
      <c r="B6" s="146" t="s">
        <v>94</v>
      </c>
      <c r="C6" s="137"/>
      <c r="D6" s="137"/>
      <c r="E6" s="137"/>
      <c r="F6" s="137"/>
      <c r="G6" s="137"/>
      <c r="I6" s="3"/>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ht="61.5" customHeight="1">
      <c r="B7" s="146" t="s">
        <v>131</v>
      </c>
      <c r="C7" s="137"/>
      <c r="D7" s="137"/>
      <c r="E7" s="137"/>
      <c r="F7" s="137"/>
      <c r="G7" s="137"/>
      <c r="I7" s="3"/>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9:256" ht="15">
      <c r="I8" s="3"/>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56" ht="18" customHeight="1">
      <c r="B9" s="138" t="str">
        <f>CONCATENATE("The analysis below is for a "&amp;Introduction!B12)</f>
        <v>The analysis below is for a 150 hp or larger Tractor</v>
      </c>
      <c r="C9" s="139"/>
      <c r="D9" s="139"/>
      <c r="E9" s="139"/>
      <c r="F9" s="139"/>
      <c r="G9" s="139"/>
      <c r="I9" s="3"/>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56" ht="18" customHeight="1">
      <c r="B10" s="48"/>
      <c r="C10" s="49"/>
      <c r="D10" s="49"/>
      <c r="E10" s="49"/>
      <c r="F10" s="49"/>
      <c r="G10" s="49"/>
      <c r="I10" s="3"/>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56" ht="16.5" thickBot="1">
      <c r="B11" s="140" t="s">
        <v>5</v>
      </c>
      <c r="C11" s="140"/>
      <c r="D11" s="140"/>
      <c r="E11" s="140"/>
      <c r="F11" s="140"/>
      <c r="G11" s="140"/>
      <c r="H11" s="3"/>
      <c r="I11" s="3"/>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56" ht="16.5" thickBot="1">
      <c r="B12" s="103" t="str">
        <f>CONCATENATE("Buy the "&amp;Introduction!B12)</f>
        <v>Buy the 150 hp or larger Tractor</v>
      </c>
      <c r="C12" s="109"/>
      <c r="D12" s="110" t="str">
        <f>CONCATENATE("Lease the "&amp;Introduction!B12)</f>
        <v>Lease the 150 hp or larger Tractor</v>
      </c>
      <c r="E12" s="109"/>
      <c r="F12" s="109"/>
      <c r="G12" s="111"/>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56" ht="15">
      <c r="B13" s="23" t="s">
        <v>137</v>
      </c>
      <c r="C13" s="69">
        <v>0</v>
      </c>
      <c r="D13" s="37" t="s">
        <v>12</v>
      </c>
      <c r="E13"/>
      <c r="G13" s="70">
        <v>2</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56" ht="15">
      <c r="B14" s="24" t="s">
        <v>13</v>
      </c>
      <c r="C14" s="99">
        <v>2</v>
      </c>
      <c r="D14" s="5" t="s">
        <v>139</v>
      </c>
      <c r="G14" s="94">
        <f>C13+G13</f>
        <v>2</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9" ht="15">
      <c r="B15" s="24" t="s">
        <v>15</v>
      </c>
      <c r="C15" s="97">
        <v>2</v>
      </c>
      <c r="D15" s="26" t="s">
        <v>7</v>
      </c>
      <c r="E15"/>
      <c r="G15" s="29">
        <v>55000</v>
      </c>
      <c r="I15"/>
    </row>
    <row r="16" spans="2:9" ht="15">
      <c r="B16" s="16" t="s">
        <v>140</v>
      </c>
      <c r="C16" s="7">
        <f>C13+C15</f>
        <v>2</v>
      </c>
      <c r="D16" s="37" t="s">
        <v>143</v>
      </c>
      <c r="G16" s="90">
        <f>C17*LOOKUP(Introduction!B12,Introduction!B25:O35,Introduction!O25:O35)/LOOKUP(Introduction!B12,Introduction!B25:K35,Introduction!K25:K35)</f>
        <v>32584.82191148694</v>
      </c>
      <c r="I16"/>
    </row>
    <row r="17" spans="2:9" ht="15">
      <c r="B17" s="23" t="s">
        <v>6</v>
      </c>
      <c r="C17" s="27">
        <v>55000</v>
      </c>
      <c r="D17" s="37" t="s">
        <v>9</v>
      </c>
      <c r="G17" s="29">
        <f>G15*0.73</f>
        <v>40150</v>
      </c>
      <c r="I17"/>
    </row>
    <row r="18" spans="2:9" ht="15">
      <c r="B18" s="24" t="s">
        <v>8</v>
      </c>
      <c r="C18" s="27">
        <v>55000</v>
      </c>
      <c r="D18" s="26" t="s">
        <v>119</v>
      </c>
      <c r="E18"/>
      <c r="G18" s="89">
        <v>10000</v>
      </c>
      <c r="I18"/>
    </row>
    <row r="19" spans="2:9" ht="15">
      <c r="B19" s="16" t="s">
        <v>142</v>
      </c>
      <c r="C19" s="88">
        <f>C17*LOOKUP(Introduction!B12,Introduction!B25:M35,Introduction!M25:M35)/LOOKUP(Introduction!B12,Introduction!B25:K35,Introduction!K25:K35)</f>
        <v>32584.82191148694</v>
      </c>
      <c r="D19" s="26" t="s">
        <v>120</v>
      </c>
      <c r="G19" s="100">
        <f>G17-G18</f>
        <v>30150</v>
      </c>
      <c r="I19"/>
    </row>
    <row r="20" spans="2:9" ht="15">
      <c r="B20" s="16" t="s">
        <v>138</v>
      </c>
      <c r="C20" s="95">
        <f>C19</f>
        <v>32584.82191148694</v>
      </c>
      <c r="D20" s="26" t="s">
        <v>14</v>
      </c>
      <c r="E20" s="32"/>
      <c r="G20" s="29">
        <v>11000</v>
      </c>
      <c r="I20"/>
    </row>
    <row r="21" spans="2:9" ht="15">
      <c r="B21" s="24" t="s">
        <v>113</v>
      </c>
      <c r="C21" s="27">
        <v>19968</v>
      </c>
      <c r="D21" s="26" t="s">
        <v>16</v>
      </c>
      <c r="E21" s="32"/>
      <c r="G21" s="30">
        <v>300</v>
      </c>
      <c r="I21"/>
    </row>
    <row r="22" spans="2:9" ht="15">
      <c r="B22" s="24" t="s">
        <v>114</v>
      </c>
      <c r="C22" s="98">
        <v>0</v>
      </c>
      <c r="D22" s="26" t="s">
        <v>18</v>
      </c>
      <c r="E22" s="32"/>
      <c r="G22" s="17">
        <f>C28</f>
        <v>400</v>
      </c>
      <c r="I22"/>
    </row>
    <row r="23" spans="2:9" ht="15">
      <c r="B23" s="24" t="s">
        <v>10</v>
      </c>
      <c r="C23" s="93">
        <f>C18-C21-C22</f>
        <v>35032</v>
      </c>
      <c r="D23" s="37" t="s">
        <v>95</v>
      </c>
      <c r="E23" s="32"/>
      <c r="G23" s="50">
        <v>0.12</v>
      </c>
      <c r="I23" s="77"/>
    </row>
    <row r="24" spans="2:9" ht="18">
      <c r="B24" s="16" t="s">
        <v>115</v>
      </c>
      <c r="C24" s="21">
        <f>C18-C22</f>
        <v>55000</v>
      </c>
      <c r="D24" s="26" t="s">
        <v>21</v>
      </c>
      <c r="E24" s="32"/>
      <c r="G24" s="31">
        <v>180</v>
      </c>
      <c r="I24" s="77"/>
    </row>
    <row r="25" spans="2:9" ht="15">
      <c r="B25" s="24" t="s">
        <v>22</v>
      </c>
      <c r="C25" s="27">
        <v>20000</v>
      </c>
      <c r="D25" s="26" t="s">
        <v>23</v>
      </c>
      <c r="E25" s="32"/>
      <c r="F25" s="22"/>
      <c r="G25" s="29">
        <v>0</v>
      </c>
      <c r="I25" s="77"/>
    </row>
    <row r="26" spans="2:9" ht="15">
      <c r="B26" s="24" t="s">
        <v>121</v>
      </c>
      <c r="C26" s="27">
        <v>0</v>
      </c>
      <c r="D26" s="37" t="s">
        <v>25</v>
      </c>
      <c r="E26" s="32"/>
      <c r="G26" s="31" t="s">
        <v>132</v>
      </c>
      <c r="I26" s="77"/>
    </row>
    <row r="27" spans="2:9" ht="15">
      <c r="B27" s="16" t="s">
        <v>11</v>
      </c>
      <c r="C27" s="96">
        <v>0.085</v>
      </c>
      <c r="D27" s="37" t="s">
        <v>27</v>
      </c>
      <c r="E27" s="32"/>
      <c r="F27" s="32"/>
      <c r="G27" s="31" t="s">
        <v>145</v>
      </c>
      <c r="I27" s="77"/>
    </row>
    <row r="28" spans="2:9" ht="15">
      <c r="B28" s="24" t="s">
        <v>17</v>
      </c>
      <c r="C28" s="97">
        <v>400</v>
      </c>
      <c r="D28" s="51" t="s">
        <v>96</v>
      </c>
      <c r="E28" s="32"/>
      <c r="F28" s="32"/>
      <c r="G28" s="31">
        <v>2</v>
      </c>
      <c r="I28"/>
    </row>
    <row r="29" spans="2:10" ht="18">
      <c r="B29" s="16" t="s">
        <v>125</v>
      </c>
      <c r="C29" s="28">
        <v>0.35</v>
      </c>
      <c r="D29" s="51" t="s">
        <v>11</v>
      </c>
      <c r="E29" s="32"/>
      <c r="F29" s="32"/>
      <c r="G29" s="42">
        <v>0.085</v>
      </c>
      <c r="I29"/>
      <c r="J29" s="7"/>
    </row>
    <row r="30" spans="2:10" ht="18">
      <c r="B30" s="24" t="s">
        <v>129</v>
      </c>
      <c r="C30" s="82">
        <v>0</v>
      </c>
      <c r="D30" s="76" t="s">
        <v>121</v>
      </c>
      <c r="E30" s="32"/>
      <c r="F30" s="32"/>
      <c r="G30" s="29">
        <v>0</v>
      </c>
      <c r="I30"/>
      <c r="J30" s="7"/>
    </row>
    <row r="31" spans="2:10" ht="15.75" thickBot="1">
      <c r="B31" s="24" t="s">
        <v>20</v>
      </c>
      <c r="C31" s="28">
        <v>0.28</v>
      </c>
      <c r="D31" s="52" t="s">
        <v>22</v>
      </c>
      <c r="E31" s="35"/>
      <c r="F31" s="35"/>
      <c r="G31" s="53">
        <v>20000</v>
      </c>
      <c r="I31" s="4"/>
      <c r="J31" s="4"/>
    </row>
    <row r="32" spans="2:10" ht="15">
      <c r="B32" s="24" t="s">
        <v>24</v>
      </c>
      <c r="C32" s="29">
        <v>0</v>
      </c>
      <c r="I32" s="4"/>
      <c r="J32" s="4"/>
    </row>
    <row r="33" spans="2:10" ht="15">
      <c r="B33" s="16" t="s">
        <v>26</v>
      </c>
      <c r="C33" s="83">
        <v>0.06</v>
      </c>
      <c r="I33" s="4"/>
      <c r="J33" s="4"/>
    </row>
    <row r="34" spans="2:10" ht="15" customHeight="1" thickBot="1">
      <c r="B34" s="25" t="s">
        <v>28</v>
      </c>
      <c r="C34" s="81">
        <v>0.03</v>
      </c>
      <c r="I34" s="4"/>
      <c r="J34" s="4"/>
    </row>
    <row r="35" spans="9:10" ht="15" customHeight="1">
      <c r="I35"/>
      <c r="J35"/>
    </row>
    <row r="36" spans="1:10" ht="15">
      <c r="A36" s="5"/>
      <c r="I36" s="78"/>
      <c r="J36"/>
    </row>
    <row r="37" spans="9:10" ht="15">
      <c r="I37" s="78"/>
      <c r="J37"/>
    </row>
    <row r="38" spans="2:10" ht="18">
      <c r="B38" s="75" t="s">
        <v>116</v>
      </c>
      <c r="I38"/>
      <c r="J38"/>
    </row>
    <row r="39" spans="2:10" ht="18">
      <c r="B39" s="75" t="s">
        <v>126</v>
      </c>
      <c r="I39"/>
      <c r="J39"/>
    </row>
    <row r="40" spans="2:10" ht="18">
      <c r="B40" s="80" t="s">
        <v>130</v>
      </c>
      <c r="I40"/>
      <c r="J40"/>
    </row>
    <row r="41" spans="9:10" ht="15">
      <c r="I41"/>
      <c r="J41"/>
    </row>
    <row r="42" spans="2:10" ht="16.5" thickBot="1">
      <c r="B42" s="55" t="s">
        <v>97</v>
      </c>
      <c r="D42"/>
      <c r="E42" s="32"/>
      <c r="F42" s="32"/>
      <c r="G42" s="32"/>
      <c r="H42"/>
      <c r="I42"/>
      <c r="J42"/>
    </row>
    <row r="43" spans="2:15" ht="16.5" thickBot="1">
      <c r="B43" s="110"/>
      <c r="C43" s="113" t="s">
        <v>29</v>
      </c>
      <c r="D43" s="113" t="s">
        <v>30</v>
      </c>
      <c r="E43" s="113" t="s">
        <v>31</v>
      </c>
      <c r="F43" s="113" t="s">
        <v>32</v>
      </c>
      <c r="G43" s="113" t="s">
        <v>33</v>
      </c>
      <c r="H43" s="113" t="s">
        <v>34</v>
      </c>
      <c r="I43" s="113" t="s">
        <v>35</v>
      </c>
      <c r="J43" s="113" t="s">
        <v>36</v>
      </c>
      <c r="K43" s="113" t="s">
        <v>37</v>
      </c>
      <c r="L43" s="113" t="s">
        <v>38</v>
      </c>
      <c r="M43" s="113" t="s">
        <v>39</v>
      </c>
      <c r="N43" s="114" t="s">
        <v>40</v>
      </c>
      <c r="O43" s="114" t="s">
        <v>41</v>
      </c>
    </row>
    <row r="44" spans="2:9" ht="15">
      <c r="B44" s="32" t="s">
        <v>42</v>
      </c>
      <c r="C44" s="115" t="str">
        <f>IF(O47&lt;0,"Lease is 'better', has lower net present value of cash expenditures than purchase by "&amp;P47,"Purchase is 'better', has lower net present value of cash expenditures than lease by "&amp;P47)</f>
        <v>Lease is 'better', has lower net present value of cash expenditures than purchase by $5777</v>
      </c>
      <c r="D44" s="115"/>
      <c r="E44" s="115"/>
      <c r="F44" s="115"/>
      <c r="G44" s="115"/>
      <c r="H44" s="115"/>
      <c r="I44" s="115"/>
    </row>
    <row r="45" spans="2:15" ht="15">
      <c r="B45" s="32" t="s">
        <v>43</v>
      </c>
      <c r="C45" s="33">
        <f>C69</f>
        <v>-19968</v>
      </c>
      <c r="D45" s="33">
        <f aca="true" t="shared" si="0" ref="D45:J45">D69</f>
        <v>-11467.66346522782</v>
      </c>
      <c r="E45" s="33">
        <f t="shared" si="0"/>
        <v>16190.81044625913</v>
      </c>
      <c r="F45" s="33">
        <f t="shared" si="0"/>
        <v>-2267.7427433609564</v>
      </c>
      <c r="G45" s="33">
        <f t="shared" si="0"/>
        <v>0</v>
      </c>
      <c r="H45" s="33">
        <f t="shared" si="0"/>
        <v>0</v>
      </c>
      <c r="I45" s="33">
        <f t="shared" si="0"/>
        <v>0</v>
      </c>
      <c r="J45" s="33">
        <f t="shared" si="0"/>
        <v>0</v>
      </c>
      <c r="K45" s="33">
        <f>K69</f>
        <v>0</v>
      </c>
      <c r="L45" s="33">
        <f>L69</f>
        <v>0</v>
      </c>
      <c r="M45" s="33">
        <f>M69</f>
        <v>0</v>
      </c>
      <c r="N45" s="33">
        <f>N69</f>
        <v>-17512.59576232965</v>
      </c>
      <c r="O45" s="4">
        <f>NPV($C$33,D45:M45)+C45</f>
        <v>-18280.82731706061</v>
      </c>
    </row>
    <row r="46" spans="2:15" ht="15">
      <c r="B46" s="32" t="s">
        <v>44</v>
      </c>
      <c r="C46" s="33">
        <f>C99</f>
        <v>-11000</v>
      </c>
      <c r="D46" s="33">
        <f>D99</f>
        <v>-7150</v>
      </c>
      <c r="E46" s="33">
        <f>E99</f>
        <v>1964.8219114869385</v>
      </c>
      <c r="F46" s="33">
        <f>F99</f>
        <v>4159.812330979572</v>
      </c>
      <c r="G46" s="33">
        <f aca="true" t="shared" si="1" ref="G46:N46">G99</f>
        <v>0</v>
      </c>
      <c r="H46" s="33">
        <f t="shared" si="1"/>
        <v>0</v>
      </c>
      <c r="I46" s="33">
        <f t="shared" si="1"/>
        <v>0</v>
      </c>
      <c r="J46" s="33">
        <f t="shared" si="1"/>
        <v>0</v>
      </c>
      <c r="K46" s="33">
        <f t="shared" si="1"/>
        <v>0</v>
      </c>
      <c r="L46" s="33">
        <f t="shared" si="1"/>
        <v>0</v>
      </c>
      <c r="M46" s="33">
        <f t="shared" si="1"/>
        <v>0</v>
      </c>
      <c r="N46" s="33">
        <f t="shared" si="1"/>
        <v>-12025.36575753349</v>
      </c>
      <c r="O46" s="4">
        <f>NPV($C$33,D46:M46)+C46</f>
        <v>-12503.939865496579</v>
      </c>
    </row>
    <row r="47" spans="2:16" ht="15.75" thickBot="1">
      <c r="B47" s="72" t="s">
        <v>45</v>
      </c>
      <c r="C47" s="11">
        <f aca="true" t="shared" si="2" ref="C47:N47">C45-C46</f>
        <v>-8968</v>
      </c>
      <c r="D47" s="11">
        <f t="shared" si="2"/>
        <v>-4317.663465227821</v>
      </c>
      <c r="E47" s="11">
        <f t="shared" si="2"/>
        <v>14225.98853477219</v>
      </c>
      <c r="F47" s="11">
        <f t="shared" si="2"/>
        <v>-6427.555074340528</v>
      </c>
      <c r="G47" s="125">
        <f t="shared" si="2"/>
        <v>0</v>
      </c>
      <c r="H47" s="11">
        <f t="shared" si="2"/>
        <v>0</v>
      </c>
      <c r="I47" s="11">
        <f t="shared" si="2"/>
        <v>0</v>
      </c>
      <c r="J47" s="11">
        <f t="shared" si="2"/>
        <v>0</v>
      </c>
      <c r="K47" s="11">
        <f t="shared" si="2"/>
        <v>0</v>
      </c>
      <c r="L47" s="11">
        <f t="shared" si="2"/>
        <v>0</v>
      </c>
      <c r="M47" s="11">
        <f t="shared" si="2"/>
        <v>0</v>
      </c>
      <c r="N47" s="11">
        <f t="shared" si="2"/>
        <v>-5487.23000479616</v>
      </c>
      <c r="O47" s="11">
        <f>O45-O46</f>
        <v>-5776.887451564033</v>
      </c>
      <c r="P47" s="34" t="str">
        <f>TEXT(ABS(O47),"$0")</f>
        <v>$5777</v>
      </c>
    </row>
    <row r="48" spans="2:14" ht="15">
      <c r="B48" s="32"/>
      <c r="C48" s="4"/>
      <c r="D48" s="4"/>
      <c r="E48" s="4"/>
      <c r="F48" s="4"/>
      <c r="G48" s="4"/>
      <c r="H48" s="4"/>
      <c r="I48" s="33"/>
      <c r="J48" s="33"/>
      <c r="N48" s="33"/>
    </row>
    <row r="49" spans="2:5" ht="16.5" thickBot="1">
      <c r="B49" s="54" t="s">
        <v>98</v>
      </c>
      <c r="E49"/>
    </row>
    <row r="50" spans="2:14" ht="15.75">
      <c r="B50" s="116" t="s">
        <v>46</v>
      </c>
      <c r="C50" s="117" t="s">
        <v>47</v>
      </c>
      <c r="D50" s="117"/>
      <c r="E50" s="117"/>
      <c r="F50" s="117"/>
      <c r="G50" s="117"/>
      <c r="H50" s="117"/>
      <c r="I50" s="117"/>
      <c r="J50" s="117"/>
      <c r="K50" s="117"/>
      <c r="L50" s="117"/>
      <c r="M50" s="117"/>
      <c r="N50" s="118"/>
    </row>
    <row r="51" spans="2:15" ht="16.5" thickBot="1">
      <c r="B51" s="119"/>
      <c r="C51" s="120">
        <v>1</v>
      </c>
      <c r="D51" s="120">
        <v>2</v>
      </c>
      <c r="E51" s="120">
        <v>3</v>
      </c>
      <c r="F51" s="120">
        <v>4</v>
      </c>
      <c r="G51" s="120">
        <v>5</v>
      </c>
      <c r="H51" s="120">
        <v>6</v>
      </c>
      <c r="I51" s="120">
        <v>7</v>
      </c>
      <c r="J51" s="120">
        <v>8</v>
      </c>
      <c r="K51" s="120">
        <v>9</v>
      </c>
      <c r="L51" s="120">
        <v>10</v>
      </c>
      <c r="M51" s="120">
        <v>11</v>
      </c>
      <c r="N51" s="121" t="s">
        <v>40</v>
      </c>
      <c r="O51"/>
    </row>
    <row r="52" spans="2:15" ht="15">
      <c r="B52" s="6" t="s">
        <v>48</v>
      </c>
      <c r="C52" s="4"/>
      <c r="F52" s="4"/>
      <c r="G52" s="4"/>
      <c r="H52" s="4"/>
      <c r="I52" s="4"/>
      <c r="J52" s="8"/>
      <c r="N52" s="9"/>
      <c r="O52"/>
    </row>
    <row r="53" spans="2:15" ht="15">
      <c r="B53" s="6" t="s">
        <v>49</v>
      </c>
      <c r="C53" s="4">
        <f>C22+C21+C32+C26</f>
        <v>19968</v>
      </c>
      <c r="D53" s="4">
        <f>IF(D51&lt;=$C$14+1,IF(D51&lt;=$C$15+1,PMT($C$27,$C$14,-$C$23)))</f>
        <v>19779.63846522782</v>
      </c>
      <c r="E53" s="4">
        <f>IF(E51&lt;=$C$14+1,IF(E51&lt;=$C$15+1,PMT($C$27,$C$14,-$C$23)))</f>
        <v>19779.63846522782</v>
      </c>
      <c r="F53" s="4" t="b">
        <f>IF(F51&lt;=$C$14+1,IF(F51&lt;=$C$15+1,PMT($C$27,$C$14,-$C$23)))</f>
        <v>0</v>
      </c>
      <c r="G53" s="4" t="b">
        <f>IF(G51&lt;=$C$14+1,IF(G51&lt;=$C$15+1,PMT($C$27,$C$14,-$C$23)))</f>
        <v>0</v>
      </c>
      <c r="H53" s="4" t="b">
        <f>IF(H51&lt;=$C$14+1,IF(H51&lt;=$C$15+1,PMT($C$27,$C$14,-$C$23)))</f>
        <v>0</v>
      </c>
      <c r="I53" s="4">
        <f>IF(I51-1&gt;$C$14,0,IF(I51&lt;=$C$15,PMT($C$27,$C$14,-$C$23)))</f>
        <v>0</v>
      </c>
      <c r="J53" s="4">
        <f>IF(J51-1&gt;$C$14,0,IF(J51&lt;=$C$15,PMT($C$27,$C$14,-$C$23)))</f>
        <v>0</v>
      </c>
      <c r="K53" s="4">
        <f>IF(K51-1&gt;$C$14,0,IF(K51&lt;=$C$15,PMT($C$27,$C$14,-$C$23)))</f>
        <v>0</v>
      </c>
      <c r="L53" s="4">
        <f>IF(L51-1&gt;$C$14,0,IF(L51&lt;=$C$15,PMT($C$27,$C$14,-$C$23)))</f>
        <v>0</v>
      </c>
      <c r="M53" s="4">
        <f>IF(M51-1&gt;$C$14,0,IF(M51&lt;=$C$15,PMT($C$27,$C$14,-$C$23)))</f>
        <v>0</v>
      </c>
      <c r="N53" s="10">
        <f>SUM(C53:M53)</f>
        <v>59527.27693045564</v>
      </c>
      <c r="O53"/>
    </row>
    <row r="54" spans="2:15" ht="15">
      <c r="B54" s="6" t="s">
        <v>50</v>
      </c>
      <c r="C54" s="4"/>
      <c r="D54" s="4">
        <f aca="true" t="shared" si="3" ref="D54:M54">IF(D53&gt;0,-IPMT($C$27,C51,$C$14,$C$23))</f>
        <v>2977.7200000000003</v>
      </c>
      <c r="E54" s="4">
        <f t="shared" si="3"/>
        <v>1549.5569304556357</v>
      </c>
      <c r="F54" s="4" t="b">
        <f t="shared" si="3"/>
        <v>0</v>
      </c>
      <c r="G54" s="4" t="b">
        <f t="shared" si="3"/>
        <v>0</v>
      </c>
      <c r="H54" s="4" t="b">
        <f t="shared" si="3"/>
        <v>0</v>
      </c>
      <c r="I54" s="4" t="b">
        <f t="shared" si="3"/>
        <v>0</v>
      </c>
      <c r="J54" s="4" t="b">
        <f t="shared" si="3"/>
        <v>0</v>
      </c>
      <c r="K54" s="4" t="b">
        <f t="shared" si="3"/>
        <v>0</v>
      </c>
      <c r="L54" s="4" t="b">
        <f t="shared" si="3"/>
        <v>0</v>
      </c>
      <c r="M54" s="4" t="b">
        <f t="shared" si="3"/>
        <v>0</v>
      </c>
      <c r="N54" s="10">
        <f aca="true" t="shared" si="4" ref="N54:N60">SUM(C54:M54)</f>
        <v>4527.276930455636</v>
      </c>
      <c r="O54"/>
    </row>
    <row r="55" spans="2:15" ht="15">
      <c r="B55" s="6" t="s">
        <v>51</v>
      </c>
      <c r="C55" s="4"/>
      <c r="D55" s="4">
        <f aca="true" t="shared" si="5" ref="D55:M55">IF(D53&gt;0,-PPMT($C$27,C51,$C$14,$C$23))</f>
        <v>16801.918465227824</v>
      </c>
      <c r="E55" s="4">
        <f t="shared" si="5"/>
        <v>18230.081534772187</v>
      </c>
      <c r="F55" s="4" t="b">
        <f t="shared" si="5"/>
        <v>0</v>
      </c>
      <c r="G55" s="4" t="b">
        <f t="shared" si="5"/>
        <v>0</v>
      </c>
      <c r="H55" s="4" t="b">
        <f t="shared" si="5"/>
        <v>0</v>
      </c>
      <c r="I55" s="4" t="b">
        <f t="shared" si="5"/>
        <v>0</v>
      </c>
      <c r="J55" s="4" t="b">
        <f t="shared" si="5"/>
        <v>0</v>
      </c>
      <c r="K55" s="4" t="b">
        <f t="shared" si="5"/>
        <v>0</v>
      </c>
      <c r="L55" s="4" t="b">
        <f t="shared" si="5"/>
        <v>0</v>
      </c>
      <c r="M55" s="4" t="b">
        <f t="shared" si="5"/>
        <v>0</v>
      </c>
      <c r="N55" s="10">
        <f t="shared" si="4"/>
        <v>35032.000000000015</v>
      </c>
      <c r="O55"/>
    </row>
    <row r="56" spans="2:15" ht="15">
      <c r="B56" s="6" t="s">
        <v>100</v>
      </c>
      <c r="C56" s="4" t="b">
        <f>IF(C51=$C$15+1,$C$23-SUM($C55:C$55))</f>
        <v>0</v>
      </c>
      <c r="D56" s="4" t="b">
        <f>IF(D51=$C$15+1,$C$23-SUM($C55:D$55))</f>
        <v>0</v>
      </c>
      <c r="E56" s="4">
        <f>IF(E51=$C$15+1,$C$23-SUM($C55:E$55))</f>
        <v>-1.4551915228366852E-11</v>
      </c>
      <c r="F56" s="4" t="b">
        <f>IF(F51=$C$15+1,$C$23-SUM($C55:F$55))</f>
        <v>0</v>
      </c>
      <c r="G56" s="4" t="b">
        <f>IF(G51=$C$15+1,$C$23-SUM($C55:G$55))</f>
        <v>0</v>
      </c>
      <c r="H56" s="4" t="b">
        <f>IF(H51=$C$15,$C$23-SUM($C55:H$55))</f>
        <v>0</v>
      </c>
      <c r="I56" s="4" t="b">
        <f>IF(I51=$C$15,$C$23-SUM($C55:I$55))</f>
        <v>0</v>
      </c>
      <c r="J56" s="4" t="b">
        <f>IF(J51=$C$15,$C$23-SUM($C55:J$55))</f>
        <v>0</v>
      </c>
      <c r="K56" s="4" t="b">
        <f>IF(K51=$C$15,$C$23-SUM($C55:K$55))</f>
        <v>0</v>
      </c>
      <c r="L56" s="4" t="b">
        <f>IF(L51=$C$15,$C$23-SUM($C55:L$55))</f>
        <v>0</v>
      </c>
      <c r="M56" s="4" t="b">
        <f>IF(M51=$C$15,$C$23-SUM($C55:M$55))</f>
        <v>0</v>
      </c>
      <c r="N56" s="10">
        <f t="shared" si="4"/>
        <v>-1.4551915228366852E-11</v>
      </c>
      <c r="O56"/>
    </row>
    <row r="57" spans="2:15" ht="15">
      <c r="B57" s="6" t="s">
        <v>52</v>
      </c>
      <c r="C57" s="4">
        <f aca="true" t="shared" si="6" ref="C57:M57">$C$32*(C51&lt;=$C$15)</f>
        <v>0</v>
      </c>
      <c r="D57" s="4">
        <f t="shared" si="6"/>
        <v>0</v>
      </c>
      <c r="E57" s="4">
        <f t="shared" si="6"/>
        <v>0</v>
      </c>
      <c r="F57" s="4">
        <f t="shared" si="6"/>
        <v>0</v>
      </c>
      <c r="G57" s="4">
        <f t="shared" si="6"/>
        <v>0</v>
      </c>
      <c r="H57" s="4">
        <f t="shared" si="6"/>
        <v>0</v>
      </c>
      <c r="I57" s="4">
        <f t="shared" si="6"/>
        <v>0</v>
      </c>
      <c r="J57" s="4">
        <f t="shared" si="6"/>
        <v>0</v>
      </c>
      <c r="K57" s="4">
        <f t="shared" si="6"/>
        <v>0</v>
      </c>
      <c r="L57" s="4">
        <f t="shared" si="6"/>
        <v>0</v>
      </c>
      <c r="M57" s="4">
        <f t="shared" si="6"/>
        <v>0</v>
      </c>
      <c r="N57" s="10">
        <f t="shared" si="4"/>
        <v>0</v>
      </c>
      <c r="O57"/>
    </row>
    <row r="58" spans="2:15" ht="15">
      <c r="B58" s="6" t="s">
        <v>53</v>
      </c>
      <c r="C58" s="4"/>
      <c r="D58" s="4">
        <f aca="true" t="shared" si="7" ref="D58:M58">IF(C62&gt;$C$24,($C$24-C62)*$C$31,0)</f>
        <v>0</v>
      </c>
      <c r="E58" s="4">
        <f t="shared" si="7"/>
        <v>0</v>
      </c>
      <c r="F58" s="4">
        <f t="shared" si="7"/>
        <v>0</v>
      </c>
      <c r="G58" s="4">
        <f t="shared" si="7"/>
        <v>0</v>
      </c>
      <c r="H58" s="4">
        <f t="shared" si="7"/>
        <v>0</v>
      </c>
      <c r="I58" s="4">
        <f t="shared" si="7"/>
        <v>0</v>
      </c>
      <c r="J58" s="4">
        <f t="shared" si="7"/>
        <v>0</v>
      </c>
      <c r="K58" s="4">
        <f t="shared" si="7"/>
        <v>0</v>
      </c>
      <c r="L58" s="4">
        <f t="shared" si="7"/>
        <v>0</v>
      </c>
      <c r="M58" s="4">
        <f t="shared" si="7"/>
        <v>0</v>
      </c>
      <c r="N58" s="10">
        <f t="shared" si="4"/>
        <v>0</v>
      </c>
      <c r="O58"/>
    </row>
    <row r="59" spans="2:14" ht="15">
      <c r="B59" s="16" t="s">
        <v>54</v>
      </c>
      <c r="C59" s="4"/>
      <c r="D59" s="4" t="b">
        <f aca="true" t="shared" si="8" ref="D59:M59">IF(C62&gt;$C$24-$N$64-$N$65,(C62-$C$24+$N$64+$N$65)*$C$29)</f>
        <v>0</v>
      </c>
      <c r="E59" s="4" t="b">
        <f t="shared" si="8"/>
        <v>0</v>
      </c>
      <c r="F59" s="4">
        <f t="shared" si="8"/>
        <v>2810.0876690204286</v>
      </c>
      <c r="G59" s="4" t="b">
        <f t="shared" si="8"/>
        <v>0</v>
      </c>
      <c r="H59" s="4" t="b">
        <f t="shared" si="8"/>
        <v>0</v>
      </c>
      <c r="I59" s="4" t="b">
        <f t="shared" si="8"/>
        <v>0</v>
      </c>
      <c r="J59" s="4" t="b">
        <f t="shared" si="8"/>
        <v>0</v>
      </c>
      <c r="K59" s="4" t="b">
        <f t="shared" si="8"/>
        <v>0</v>
      </c>
      <c r="L59" s="4" t="b">
        <f t="shared" si="8"/>
        <v>0</v>
      </c>
      <c r="M59" s="4" t="b">
        <f t="shared" si="8"/>
        <v>0</v>
      </c>
      <c r="N59" s="10">
        <f t="shared" si="4"/>
        <v>2810.0876690204286</v>
      </c>
    </row>
    <row r="60" spans="2:15" ht="15.75" thickBot="1">
      <c r="B60" s="6" t="s">
        <v>55</v>
      </c>
      <c r="C60" s="4">
        <f aca="true" t="shared" si="9" ref="C60:M60">C53+SUM(C56:C59)</f>
        <v>19968</v>
      </c>
      <c r="D60" s="4">
        <f t="shared" si="9"/>
        <v>19779.63846522782</v>
      </c>
      <c r="E60" s="4">
        <f t="shared" si="9"/>
        <v>19779.638465227807</v>
      </c>
      <c r="F60" s="4">
        <f t="shared" si="9"/>
        <v>2810.0876690204286</v>
      </c>
      <c r="G60" s="4">
        <f t="shared" si="9"/>
        <v>0</v>
      </c>
      <c r="H60" s="4">
        <f t="shared" si="9"/>
        <v>0</v>
      </c>
      <c r="I60" s="4">
        <f t="shared" si="9"/>
        <v>0</v>
      </c>
      <c r="J60" s="4">
        <f t="shared" si="9"/>
        <v>0</v>
      </c>
      <c r="K60" s="4">
        <f t="shared" si="9"/>
        <v>0</v>
      </c>
      <c r="L60" s="4">
        <f t="shared" si="9"/>
        <v>0</v>
      </c>
      <c r="M60" s="4">
        <f t="shared" si="9"/>
        <v>0</v>
      </c>
      <c r="N60" s="10">
        <f t="shared" si="4"/>
        <v>62337.36459947606</v>
      </c>
      <c r="O60"/>
    </row>
    <row r="61" spans="2:15" ht="15">
      <c r="B61" s="57" t="s">
        <v>56</v>
      </c>
      <c r="C61" s="58" t="s">
        <v>57</v>
      </c>
      <c r="D61" s="58"/>
      <c r="E61" s="58"/>
      <c r="F61" s="58"/>
      <c r="G61" s="58"/>
      <c r="H61" s="58"/>
      <c r="I61" s="58"/>
      <c r="J61" s="58"/>
      <c r="K61" s="58"/>
      <c r="L61" s="58"/>
      <c r="M61" s="59"/>
      <c r="N61" s="60"/>
      <c r="O61"/>
    </row>
    <row r="62" spans="2:15" ht="15">
      <c r="B62" s="6" t="s">
        <v>58</v>
      </c>
      <c r="C62" s="4"/>
      <c r="D62" s="4">
        <f aca="true" t="shared" si="10" ref="D62:M62">IF(D51=$C$15+1,$C$20,0)</f>
        <v>0</v>
      </c>
      <c r="E62" s="4">
        <f t="shared" si="10"/>
        <v>32584.82191148694</v>
      </c>
      <c r="F62" s="4">
        <f t="shared" si="10"/>
        <v>0</v>
      </c>
      <c r="G62" s="4">
        <f t="shared" si="10"/>
        <v>0</v>
      </c>
      <c r="H62" s="4">
        <f t="shared" si="10"/>
        <v>0</v>
      </c>
      <c r="I62" s="4">
        <f t="shared" si="10"/>
        <v>0</v>
      </c>
      <c r="J62" s="4">
        <f t="shared" si="10"/>
        <v>0</v>
      </c>
      <c r="K62" s="4">
        <f t="shared" si="10"/>
        <v>0</v>
      </c>
      <c r="L62" s="4">
        <f t="shared" si="10"/>
        <v>0</v>
      </c>
      <c r="M62" s="4">
        <f t="shared" si="10"/>
        <v>0</v>
      </c>
      <c r="N62" s="10">
        <f aca="true" t="shared" si="11" ref="N62:N68">SUM(C62:M62)</f>
        <v>32584.82191148694</v>
      </c>
      <c r="O62"/>
    </row>
    <row r="63" spans="2:14" ht="15">
      <c r="B63" s="6" t="s">
        <v>59</v>
      </c>
      <c r="C63" s="4"/>
      <c r="D63" s="4">
        <f aca="true" t="shared" si="12" ref="D63:M63">SUM(D64:D67)*($C$29+$C$30)</f>
        <v>8311.975</v>
      </c>
      <c r="E63" s="4">
        <f t="shared" si="12"/>
        <v>3385.6270000000004</v>
      </c>
      <c r="F63" s="4">
        <f t="shared" si="12"/>
        <v>542.3449256594724</v>
      </c>
      <c r="G63" s="4">
        <f t="shared" si="12"/>
        <v>0</v>
      </c>
      <c r="H63" s="4">
        <f t="shared" si="12"/>
        <v>0</v>
      </c>
      <c r="I63" s="4">
        <f t="shared" si="12"/>
        <v>0</v>
      </c>
      <c r="J63" s="4">
        <f t="shared" si="12"/>
        <v>0</v>
      </c>
      <c r="K63" s="4">
        <f t="shared" si="12"/>
        <v>0</v>
      </c>
      <c r="L63" s="4">
        <f t="shared" si="12"/>
        <v>0</v>
      </c>
      <c r="M63" s="4">
        <f t="shared" si="12"/>
        <v>0</v>
      </c>
      <c r="N63" s="10">
        <f t="shared" si="11"/>
        <v>12239.946925659473</v>
      </c>
    </row>
    <row r="64" spans="2:14" ht="15">
      <c r="B64" s="6" t="s">
        <v>60</v>
      </c>
      <c r="C64" s="4"/>
      <c r="D64" s="4">
        <f>IF(C51&lt;=$C$15,($C$24-$C$25)*Introduction!C37/100)</f>
        <v>3748.5000000000005</v>
      </c>
      <c r="E64" s="4">
        <f>IF(D51&lt;=$C$15,($C$24-$C$25)*Introduction!D37/100)</f>
        <v>6695.5</v>
      </c>
      <c r="F64" s="4" t="b">
        <f>IF(E51&lt;=$C$15,($C$24-$C$25)*Introduction!E37/100)</f>
        <v>0</v>
      </c>
      <c r="G64" s="4" t="b">
        <f>IF(F51&lt;=$C$15,($C$24-$C$25)*Introduction!F37/100)</f>
        <v>0</v>
      </c>
      <c r="H64" s="4" t="b">
        <f>IF(G51&lt;=$C$15,($C$24-$C$25)*Introduction!G37/100)</f>
        <v>0</v>
      </c>
      <c r="I64" s="4" t="b">
        <f>IF(H51&lt;=$C$15,($C$24-$C$25)*Introduction!H37/100)</f>
        <v>0</v>
      </c>
      <c r="J64" s="4" t="b">
        <f>IF(I51&lt;=$C$15,($C$24-$C$25)*Introduction!I37/100)</f>
        <v>0</v>
      </c>
      <c r="K64" s="4" t="b">
        <f>IF(J51&lt;=$C$15,($C$24-$C$25)*Introduction!J37/100)</f>
        <v>0</v>
      </c>
      <c r="L64" s="4" t="b">
        <f>IF(K51&lt;=$C$15,($C$24-$C$25)*Introduction!K37/100)</f>
        <v>0</v>
      </c>
      <c r="M64" s="4" t="b">
        <f>IF(L51&lt;=$C$15,($C$24-$C$25)*Introduction!L37/100)</f>
        <v>0</v>
      </c>
      <c r="N64" s="10">
        <f t="shared" si="11"/>
        <v>10444</v>
      </c>
    </row>
    <row r="65" spans="2:14" ht="15">
      <c r="B65" s="6" t="s">
        <v>61</v>
      </c>
      <c r="C65" s="4"/>
      <c r="D65" s="4">
        <f>C25</f>
        <v>20000</v>
      </c>
      <c r="E65" s="4"/>
      <c r="F65" s="4"/>
      <c r="G65" s="4"/>
      <c r="H65" s="4"/>
      <c r="I65" s="4"/>
      <c r="J65" s="4"/>
      <c r="K65" s="4"/>
      <c r="L65" s="4"/>
      <c r="N65" s="10">
        <f t="shared" si="11"/>
        <v>20000</v>
      </c>
    </row>
    <row r="66" spans="2:14" ht="15">
      <c r="B66" s="6" t="s">
        <v>62</v>
      </c>
      <c r="C66" s="4"/>
      <c r="D66" s="4">
        <f>C54+C57</f>
        <v>0</v>
      </c>
      <c r="E66" s="4">
        <f aca="true" t="shared" si="13" ref="E66:M66">D54+D57</f>
        <v>2977.7200000000003</v>
      </c>
      <c r="F66" s="4">
        <f t="shared" si="13"/>
        <v>1549.5569304556357</v>
      </c>
      <c r="G66" s="4">
        <f t="shared" si="13"/>
        <v>0</v>
      </c>
      <c r="H66" s="4">
        <f t="shared" si="13"/>
        <v>0</v>
      </c>
      <c r="I66" s="4">
        <f t="shared" si="13"/>
        <v>0</v>
      </c>
      <c r="J66" s="4">
        <f t="shared" si="13"/>
        <v>0</v>
      </c>
      <c r="K66" s="4">
        <f t="shared" si="13"/>
        <v>0</v>
      </c>
      <c r="L66" s="4">
        <f t="shared" si="13"/>
        <v>0</v>
      </c>
      <c r="M66" s="4">
        <f t="shared" si="13"/>
        <v>0</v>
      </c>
      <c r="N66" s="10">
        <f t="shared" si="11"/>
        <v>4527.276930455636</v>
      </c>
    </row>
    <row r="67" spans="2:14" ht="15">
      <c r="B67" s="6" t="s">
        <v>63</v>
      </c>
      <c r="C67" s="4"/>
      <c r="D67" s="4">
        <f aca="true" t="shared" si="14" ref="D67:M67">IF(AND(C62&gt;0,C62&lt;$C$24-$N$64-$N$65),-C62+($C$24-$N$64-$N$65),0)</f>
        <v>0</v>
      </c>
      <c r="E67" s="4">
        <f t="shared" si="14"/>
        <v>0</v>
      </c>
      <c r="F67" s="4">
        <f t="shared" si="14"/>
        <v>0</v>
      </c>
      <c r="G67" s="4">
        <f t="shared" si="14"/>
        <v>0</v>
      </c>
      <c r="H67" s="4">
        <f t="shared" si="14"/>
        <v>0</v>
      </c>
      <c r="I67" s="4">
        <f t="shared" si="14"/>
        <v>0</v>
      </c>
      <c r="J67" s="4">
        <f t="shared" si="14"/>
        <v>0</v>
      </c>
      <c r="K67" s="4">
        <f t="shared" si="14"/>
        <v>0</v>
      </c>
      <c r="L67" s="4">
        <f t="shared" si="14"/>
        <v>0</v>
      </c>
      <c r="M67" s="4">
        <f t="shared" si="14"/>
        <v>0</v>
      </c>
      <c r="N67" s="10">
        <f t="shared" si="11"/>
        <v>0</v>
      </c>
    </row>
    <row r="68" spans="2:14" ht="15">
      <c r="B68" s="6" t="s">
        <v>64</v>
      </c>
      <c r="C68" s="4">
        <f aca="true" t="shared" si="15" ref="C68:J68">C62+C63</f>
        <v>0</v>
      </c>
      <c r="D68" s="4">
        <f t="shared" si="15"/>
        <v>8311.975</v>
      </c>
      <c r="E68" s="4">
        <f t="shared" si="15"/>
        <v>35970.448911486936</v>
      </c>
      <c r="F68" s="4">
        <f t="shared" si="15"/>
        <v>542.3449256594724</v>
      </c>
      <c r="G68" s="4">
        <f t="shared" si="15"/>
        <v>0</v>
      </c>
      <c r="H68" s="4">
        <f>H62+H63</f>
        <v>0</v>
      </c>
      <c r="I68" s="4">
        <f>I62+I63</f>
        <v>0</v>
      </c>
      <c r="J68" s="4">
        <f t="shared" si="15"/>
        <v>0</v>
      </c>
      <c r="K68" s="4">
        <f>K62+K63</f>
        <v>0</v>
      </c>
      <c r="L68" s="4">
        <f>L62+L63</f>
        <v>0</v>
      </c>
      <c r="M68" s="4">
        <f>M62+M63</f>
        <v>0</v>
      </c>
      <c r="N68" s="10">
        <f t="shared" si="11"/>
        <v>44824.76883714641</v>
      </c>
    </row>
    <row r="69" spans="2:14" ht="15.75" thickBot="1">
      <c r="B69" s="79" t="s">
        <v>127</v>
      </c>
      <c r="C69" s="11">
        <f aca="true" t="shared" si="16" ref="C69:N69">C68-C60</f>
        <v>-19968</v>
      </c>
      <c r="D69" s="11">
        <f t="shared" si="16"/>
        <v>-11467.66346522782</v>
      </c>
      <c r="E69" s="11">
        <f t="shared" si="16"/>
        <v>16190.81044625913</v>
      </c>
      <c r="F69" s="11">
        <f t="shared" si="16"/>
        <v>-2267.7427433609564</v>
      </c>
      <c r="G69" s="11">
        <f t="shared" si="16"/>
        <v>0</v>
      </c>
      <c r="H69" s="11">
        <f t="shared" si="16"/>
        <v>0</v>
      </c>
      <c r="I69" s="11">
        <f t="shared" si="16"/>
        <v>0</v>
      </c>
      <c r="J69" s="11">
        <f t="shared" si="16"/>
        <v>0</v>
      </c>
      <c r="K69" s="11">
        <f t="shared" si="16"/>
        <v>0</v>
      </c>
      <c r="L69" s="11">
        <f t="shared" si="16"/>
        <v>0</v>
      </c>
      <c r="M69" s="11">
        <f t="shared" si="16"/>
        <v>0</v>
      </c>
      <c r="N69" s="12">
        <f t="shared" si="16"/>
        <v>-17512.59576232965</v>
      </c>
    </row>
    <row r="70" ht="15">
      <c r="B70" s="5" t="s">
        <v>66</v>
      </c>
    </row>
    <row r="73" ht="16.5" thickBot="1">
      <c r="B73" s="55" t="s">
        <v>99</v>
      </c>
    </row>
    <row r="74" spans="2:14" ht="15.75">
      <c r="B74" s="122" t="s">
        <v>104</v>
      </c>
      <c r="C74" s="123" t="s">
        <v>29</v>
      </c>
      <c r="D74" s="123" t="s">
        <v>30</v>
      </c>
      <c r="E74" s="123" t="s">
        <v>31</v>
      </c>
      <c r="F74" s="123" t="s">
        <v>32</v>
      </c>
      <c r="G74" s="123" t="s">
        <v>33</v>
      </c>
      <c r="H74" s="123" t="s">
        <v>34</v>
      </c>
      <c r="I74" s="123" t="s">
        <v>35</v>
      </c>
      <c r="J74" s="123" t="s">
        <v>36</v>
      </c>
      <c r="K74" s="123" t="s">
        <v>37</v>
      </c>
      <c r="L74" s="123" t="s">
        <v>38</v>
      </c>
      <c r="M74" s="123" t="s">
        <v>39</v>
      </c>
      <c r="N74" s="124" t="s">
        <v>40</v>
      </c>
    </row>
    <row r="75" spans="2:14" ht="15">
      <c r="B75" s="16" t="s">
        <v>67</v>
      </c>
      <c r="C75" s="4">
        <f>IF(C51&lt;=$G$13,+$G$20)</f>
        <v>11000</v>
      </c>
      <c r="D75" s="4">
        <f aca="true" t="shared" si="17" ref="D75:M75">IF(D51&lt;=$G$13,+$G$20,IF(AND($G$26="no",$C$15&gt;$G$13,D51&lt;=$C$15),+$G$20*(1+$C$34)^D51))</f>
        <v>11000</v>
      </c>
      <c r="E75" s="4" t="b">
        <f t="shared" si="17"/>
        <v>0</v>
      </c>
      <c r="F75" s="4" t="b">
        <f t="shared" si="17"/>
        <v>0</v>
      </c>
      <c r="G75" s="4" t="b">
        <f t="shared" si="17"/>
        <v>0</v>
      </c>
      <c r="H75" s="4" t="b">
        <f t="shared" si="17"/>
        <v>0</v>
      </c>
      <c r="I75" s="4" t="b">
        <f t="shared" si="17"/>
        <v>0</v>
      </c>
      <c r="J75" s="4" t="b">
        <f t="shared" si="17"/>
        <v>0</v>
      </c>
      <c r="K75" s="4" t="b">
        <f t="shared" si="17"/>
        <v>0</v>
      </c>
      <c r="L75" s="4" t="b">
        <f t="shared" si="17"/>
        <v>0</v>
      </c>
      <c r="M75" s="4" t="b">
        <f t="shared" si="17"/>
        <v>0</v>
      </c>
      <c r="N75" s="10">
        <f>SUM(C75:M75)</f>
        <v>22000</v>
      </c>
    </row>
    <row r="76" spans="2:14" ht="15">
      <c r="B76" s="6" t="s">
        <v>68</v>
      </c>
      <c r="C76" s="4">
        <f aca="true" t="shared" si="18" ref="C76:M76">IF(C51=$G$13+1,($G$22-$G$21)*$G$24*$G$23*$G$13,IF(AND($G$26="no",$C$15&gt;$G$13,C51&lt;=$C$15+1,C51&gt;$G$13+1),+($G$22-$G$21)*$G$24*$G$23*(1+$C$34)^C51,0))</f>
        <v>0</v>
      </c>
      <c r="D76" s="4">
        <f t="shared" si="18"/>
        <v>0</v>
      </c>
      <c r="E76" s="4">
        <f t="shared" si="18"/>
        <v>4320</v>
      </c>
      <c r="F76" s="4">
        <f t="shared" si="18"/>
        <v>0</v>
      </c>
      <c r="G76" s="4">
        <f t="shared" si="18"/>
        <v>0</v>
      </c>
      <c r="H76" s="4">
        <f t="shared" si="18"/>
        <v>0</v>
      </c>
      <c r="I76" s="4">
        <f t="shared" si="18"/>
        <v>0</v>
      </c>
      <c r="J76" s="4">
        <f t="shared" si="18"/>
        <v>0</v>
      </c>
      <c r="K76" s="4">
        <f t="shared" si="18"/>
        <v>0</v>
      </c>
      <c r="L76" s="4">
        <f t="shared" si="18"/>
        <v>0</v>
      </c>
      <c r="M76" s="4">
        <f t="shared" si="18"/>
        <v>0</v>
      </c>
      <c r="N76" s="10">
        <f>SUM(C76:M76)</f>
        <v>4320</v>
      </c>
    </row>
    <row r="77" spans="2:14" ht="15">
      <c r="B77" s="6" t="s">
        <v>69</v>
      </c>
      <c r="C77" s="4">
        <f aca="true" t="shared" si="19" ref="C77:M77">$G$25*(C75&gt;0)</f>
        <v>0</v>
      </c>
      <c r="D77" s="4">
        <f t="shared" si="19"/>
        <v>0</v>
      </c>
      <c r="E77" s="4">
        <f t="shared" si="19"/>
        <v>0</v>
      </c>
      <c r="F77" s="4">
        <f t="shared" si="19"/>
        <v>0</v>
      </c>
      <c r="G77" s="4">
        <f t="shared" si="19"/>
        <v>0</v>
      </c>
      <c r="H77" s="4">
        <f t="shared" si="19"/>
        <v>0</v>
      </c>
      <c r="I77" s="4">
        <f t="shared" si="19"/>
        <v>0</v>
      </c>
      <c r="J77" s="4">
        <f t="shared" si="19"/>
        <v>0</v>
      </c>
      <c r="K77" s="4">
        <f t="shared" si="19"/>
        <v>0</v>
      </c>
      <c r="L77" s="4">
        <f t="shared" si="19"/>
        <v>0</v>
      </c>
      <c r="M77" s="4">
        <f t="shared" si="19"/>
        <v>0</v>
      </c>
      <c r="N77" s="10">
        <f>SUM(C77:M77)</f>
        <v>0</v>
      </c>
    </row>
    <row r="78" spans="2:15" ht="15">
      <c r="B78" s="6" t="s">
        <v>70</v>
      </c>
      <c r="C78" s="4">
        <v>0</v>
      </c>
      <c r="D78" s="4">
        <f aca="true" t="shared" si="20" ref="D78:M78">SUM(C75:C77)*($C$29+$C$30)</f>
        <v>3849.9999999999995</v>
      </c>
      <c r="E78" s="4">
        <f t="shared" si="20"/>
        <v>3849.9999999999995</v>
      </c>
      <c r="F78" s="4">
        <f t="shared" si="20"/>
        <v>1512</v>
      </c>
      <c r="G78" s="4">
        <f t="shared" si="20"/>
        <v>0</v>
      </c>
      <c r="H78" s="4">
        <f t="shared" si="20"/>
        <v>0</v>
      </c>
      <c r="I78" s="4">
        <f t="shared" si="20"/>
        <v>0</v>
      </c>
      <c r="J78" s="4">
        <f t="shared" si="20"/>
        <v>0</v>
      </c>
      <c r="K78" s="4">
        <f t="shared" si="20"/>
        <v>0</v>
      </c>
      <c r="L78" s="4">
        <f t="shared" si="20"/>
        <v>0</v>
      </c>
      <c r="M78" s="4">
        <f t="shared" si="20"/>
        <v>0</v>
      </c>
      <c r="N78" s="10">
        <f>SUM(C78:M78)</f>
        <v>9212</v>
      </c>
      <c r="O78"/>
    </row>
    <row r="79" spans="2:14" ht="15.75" thickBot="1">
      <c r="B79" s="6" t="s">
        <v>71</v>
      </c>
      <c r="C79" s="4">
        <f aca="true" t="shared" si="21" ref="C79:J79">SUM(C75:C77)-C78</f>
        <v>11000</v>
      </c>
      <c r="D79" s="4">
        <f t="shared" si="21"/>
        <v>7150</v>
      </c>
      <c r="E79" s="4">
        <f t="shared" si="21"/>
        <v>470.00000000000045</v>
      </c>
      <c r="F79" s="4">
        <f t="shared" si="21"/>
        <v>-1512</v>
      </c>
      <c r="G79" s="4">
        <f t="shared" si="21"/>
        <v>0</v>
      </c>
      <c r="H79" s="4">
        <f t="shared" si="21"/>
        <v>0</v>
      </c>
      <c r="I79" s="4">
        <f t="shared" si="21"/>
        <v>0</v>
      </c>
      <c r="J79" s="4">
        <f t="shared" si="21"/>
        <v>0</v>
      </c>
      <c r="K79" s="4">
        <f>SUM(K75:K77)-K78</f>
        <v>0</v>
      </c>
      <c r="L79" s="4">
        <f>SUM(L75:L77)-L78</f>
        <v>0</v>
      </c>
      <c r="M79" s="4">
        <f>SUM(M75:M77)-M78</f>
        <v>0</v>
      </c>
      <c r="N79" s="10">
        <f>SUM(C79:M79)</f>
        <v>17108</v>
      </c>
    </row>
    <row r="80" spans="2:14" ht="15">
      <c r="B80" s="62" t="s">
        <v>105</v>
      </c>
      <c r="C80" s="59"/>
      <c r="D80" s="59"/>
      <c r="E80" s="59"/>
      <c r="F80" s="59"/>
      <c r="G80" s="59"/>
      <c r="H80" s="59"/>
      <c r="I80" s="59"/>
      <c r="J80" s="59"/>
      <c r="K80" s="59"/>
      <c r="L80" s="59"/>
      <c r="M80" s="59"/>
      <c r="N80" s="60"/>
    </row>
    <row r="81" spans="2:14" ht="15">
      <c r="B81" s="6" t="s">
        <v>49</v>
      </c>
      <c r="C81" s="56">
        <f>($G$26="yes")*IF($G$27="no",IF(C51=$G$13+1,+$G$19,0),IF(AND(C51=$G$13+1,C51&lt;=$C$15),PMT($G$29,$G$28,-$G$19)+$G$30,IF(AND(C51&gt;=$G$13+1,C51&lt;$G$13+1+$G$28,C51&lt;=$C$15),PMT($G$29,$G$28,-$G$19),0)))</f>
        <v>0</v>
      </c>
      <c r="D81" s="56">
        <f>($G$26="yes")*IF($G$27="no",IF(D51=$G$13+1,+$G$19,0),IF(AND(D51=$G$13+1,D51&lt;=$C$15),PMT($G$29,$G$28,-$G$19)+$G$30,IF(AND(D51&gt;=$G$13+1,D51&lt;$G$13+1+$G$28,D51&lt;=$C$15),PMT($G$29,$G$28,-$G$19),0)))</f>
        <v>0</v>
      </c>
      <c r="E81" s="56">
        <f>($G$26="yes")*IF($G$27="no",IF(E51=$G$13+1,+$G$19,0),IF(AND(E51=$G$13+1,E51&lt;=$C$15),PMT($G$29,$G$28,-$G$19)+$G$30,IF(AND(E51&gt;=$G$13+1,E51&lt;$G$13+1+$G$28,E51&lt;=$C$15),PMT($G$29,$G$28,-$G$19),0)))</f>
        <v>30150</v>
      </c>
      <c r="F81" s="56">
        <f>($G$26="yes")*IF($G$27="no",IF(F51=$G$13+1,+$G$19,0),IF(AND(F51=$G$13+1,F51&lt;=$C$15),PMT($G$29,$G$28,-$G$19)+$G$30,IF(AND(F51&gt;=$G$13+1,F51&lt;$G$13+1+$G$28,F51&lt;=$C$15),PMT($G$29,$G$28,-$G$19),0)))</f>
        <v>0</v>
      </c>
      <c r="G81" s="56">
        <f>($G$26="yes")*IF($G$27="no",IF(G51=$G$13+1,+$G$19,0),IF(AND(G51=$G$13+1,G51&lt;=$C$15),PMT($G$29,$G$28,-$G$19)+$G$30,IF(AND(G51&gt;=$G$13+1,G51&lt;$G$13+$G$28+1,G51&lt;=$C$15),PMT($G$29,$G$28,-$G$19),0)))</f>
        <v>0</v>
      </c>
      <c r="H81" s="56">
        <f aca="true" t="shared" si="22" ref="H81:M81">($G$26="yes")*IF($G$27="no",IF(H51=$G$13+1,+$G$19,0),IF(AND(H51=$G$13+1,H51&lt;=$C$15),PMT($G$29,$G$28,-$G$19)+$G$30,IF(AND(H51&gt;=$G$13+1,H51&lt;$G$13+1+$G$28,H51&lt;=$C$15),PMT($G$29,$G$28,-$G$19),0)))</f>
        <v>0</v>
      </c>
      <c r="I81" s="56">
        <f t="shared" si="22"/>
        <v>0</v>
      </c>
      <c r="J81" s="56">
        <f t="shared" si="22"/>
        <v>0</v>
      </c>
      <c r="K81" s="56">
        <f t="shared" si="22"/>
        <v>0</v>
      </c>
      <c r="L81" s="56">
        <f t="shared" si="22"/>
        <v>0</v>
      </c>
      <c r="M81" s="56">
        <f t="shared" si="22"/>
        <v>0</v>
      </c>
      <c r="N81" s="10">
        <f aca="true" t="shared" si="23" ref="N81:N89">SUM(C81:M81)</f>
        <v>30150</v>
      </c>
    </row>
    <row r="82" spans="2:14" ht="15">
      <c r="B82" s="84" t="s">
        <v>133</v>
      </c>
      <c r="C82" s="56" t="b">
        <f aca="true" t="shared" si="24" ref="C82:M82">IF($G$27="yes",IF(AND(C81&gt;0,C51=$G$13+1),$G$18))</f>
        <v>0</v>
      </c>
      <c r="D82" s="56" t="b">
        <f t="shared" si="24"/>
        <v>0</v>
      </c>
      <c r="E82" s="56" t="b">
        <f t="shared" si="24"/>
        <v>0</v>
      </c>
      <c r="F82" s="56" t="b">
        <f t="shared" si="24"/>
        <v>0</v>
      </c>
      <c r="G82" s="56" t="b">
        <f t="shared" si="24"/>
        <v>0</v>
      </c>
      <c r="H82" s="56" t="b">
        <f t="shared" si="24"/>
        <v>0</v>
      </c>
      <c r="I82" s="56" t="b">
        <f t="shared" si="24"/>
        <v>0</v>
      </c>
      <c r="J82" s="56" t="b">
        <f t="shared" si="24"/>
        <v>0</v>
      </c>
      <c r="K82" s="56" t="b">
        <f t="shared" si="24"/>
        <v>0</v>
      </c>
      <c r="L82" s="56" t="b">
        <f t="shared" si="24"/>
        <v>0</v>
      </c>
      <c r="M82" s="56" t="b">
        <f t="shared" si="24"/>
        <v>0</v>
      </c>
      <c r="N82" s="10">
        <f t="shared" si="23"/>
        <v>0</v>
      </c>
    </row>
    <row r="83" spans="2:14" ht="15">
      <c r="B83" s="6" t="s">
        <v>50</v>
      </c>
      <c r="C83" s="56" t="b">
        <f aca="true" t="shared" si="25" ref="C83:M83">IF($G$27="yes",IF(C81&gt;0,-IPMT($G$29,C51-$G$13,$G$28,$G$19)))</f>
        <v>0</v>
      </c>
      <c r="D83" s="56" t="b">
        <f t="shared" si="25"/>
        <v>0</v>
      </c>
      <c r="E83" s="56" t="b">
        <f t="shared" si="25"/>
        <v>0</v>
      </c>
      <c r="F83" s="56" t="b">
        <f t="shared" si="25"/>
        <v>0</v>
      </c>
      <c r="G83" s="56" t="b">
        <f t="shared" si="25"/>
        <v>0</v>
      </c>
      <c r="H83" s="56" t="b">
        <f t="shared" si="25"/>
        <v>0</v>
      </c>
      <c r="I83" s="56" t="b">
        <f t="shared" si="25"/>
        <v>0</v>
      </c>
      <c r="J83" s="56" t="b">
        <f t="shared" si="25"/>
        <v>0</v>
      </c>
      <c r="K83" s="56" t="b">
        <f t="shared" si="25"/>
        <v>0</v>
      </c>
      <c r="L83" s="56" t="b">
        <f t="shared" si="25"/>
        <v>0</v>
      </c>
      <c r="M83" s="56" t="b">
        <f t="shared" si="25"/>
        <v>0</v>
      </c>
      <c r="N83" s="10">
        <f t="shared" si="23"/>
        <v>0</v>
      </c>
    </row>
    <row r="84" spans="2:14" ht="15">
      <c r="B84" s="6" t="s">
        <v>51</v>
      </c>
      <c r="C84" s="56" t="b">
        <f aca="true" t="shared" si="26" ref="C84:M84">IF($G$27="yes",IF(C81&gt;0,-PPMT($G$29,C51-$G$13,$G$28,$G$19)))</f>
        <v>0</v>
      </c>
      <c r="D84" s="56" t="b">
        <f t="shared" si="26"/>
        <v>0</v>
      </c>
      <c r="E84" s="56" t="b">
        <f t="shared" si="26"/>
        <v>0</v>
      </c>
      <c r="F84" s="56" t="b">
        <f t="shared" si="26"/>
        <v>0</v>
      </c>
      <c r="G84" s="56" t="b">
        <f t="shared" si="26"/>
        <v>0</v>
      </c>
      <c r="H84" s="56" t="b">
        <f t="shared" si="26"/>
        <v>0</v>
      </c>
      <c r="I84" s="56" t="b">
        <f t="shared" si="26"/>
        <v>0</v>
      </c>
      <c r="J84" s="56" t="b">
        <f t="shared" si="26"/>
        <v>0</v>
      </c>
      <c r="K84" s="56" t="b">
        <f t="shared" si="26"/>
        <v>0</v>
      </c>
      <c r="L84" s="56" t="b">
        <f t="shared" si="26"/>
        <v>0</v>
      </c>
      <c r="M84" s="56" t="b">
        <f t="shared" si="26"/>
        <v>0</v>
      </c>
      <c r="N84" s="10">
        <f t="shared" si="23"/>
        <v>0</v>
      </c>
    </row>
    <row r="85" spans="2:14" ht="15">
      <c r="B85" s="6" t="s">
        <v>92</v>
      </c>
      <c r="C85" s="56" t="b">
        <f>IF(AND($G$27="yes",$G$26="yes",C51=$C$15),$G$19-SUM($C$84:C84))</f>
        <v>0</v>
      </c>
      <c r="D85" s="56" t="b">
        <f>IF(AND($G$27="yes",$G$26="yes",D51=$C$15),$G$19-SUM($C$84:D84))</f>
        <v>0</v>
      </c>
      <c r="E85" s="56" t="b">
        <f>IF(AND($G$27="yes",$G$26="yes",E51=$C$15),$G$19-SUM($C$84:E84))</f>
        <v>0</v>
      </c>
      <c r="F85" s="56" t="b">
        <f>IF(AND($G$27="yes",$G$26="yes",F51=$C$15),$G$19-SUM($C$84:F84))</f>
        <v>0</v>
      </c>
      <c r="G85" s="56" t="b">
        <f>IF(AND($G$27="yes",$G$26="yes",G51=$C$15),$G$19-SUM($C$84:G84))</f>
        <v>0</v>
      </c>
      <c r="H85" s="56" t="b">
        <f>IF(AND($G$27="yes",$G$26="yes",H51=$C$15),$G$19-SUM($C$84:H84))</f>
        <v>0</v>
      </c>
      <c r="I85" s="56" t="b">
        <f>IF(AND($G$27="yes",$G$26="yes",I51=$C$15),$G$19-SUM($C$84:I84))</f>
        <v>0</v>
      </c>
      <c r="J85" s="56" t="b">
        <f>IF(AND($G$27="yes",$G$26="yes",J51=$C$15),$G$19-SUM($C$84:J84))</f>
        <v>0</v>
      </c>
      <c r="K85" s="56" t="b">
        <f>IF(AND($G$27="yes",$G$26="yes",K51=$C$15),$G$19-SUM($C$84:K84))</f>
        <v>0</v>
      </c>
      <c r="L85" s="56" t="b">
        <f>IF(AND($G$27="yes",$G$26="yes",L51=$C$15),$G$19-SUM($C$84:L84))</f>
        <v>0</v>
      </c>
      <c r="M85" s="56" t="b">
        <f>IF(AND($G$27="yes",$G$26="yes",M51=$C$15),$G$19-SUM($C$84:M84))</f>
        <v>0</v>
      </c>
      <c r="N85" s="10">
        <f t="shared" si="23"/>
        <v>0</v>
      </c>
    </row>
    <row r="86" spans="2:14" ht="15">
      <c r="B86" s="6" t="s">
        <v>52</v>
      </c>
      <c r="C86" s="56">
        <f aca="true" t="shared" si="27" ref="C86:M86">IF(AND(C51&gt;$G$13,C51&lt;=$C$15),$C$32)*($G$26="yes")</f>
        <v>0</v>
      </c>
      <c r="D86" s="56">
        <f t="shared" si="27"/>
        <v>0</v>
      </c>
      <c r="E86" s="56">
        <f t="shared" si="27"/>
        <v>0</v>
      </c>
      <c r="F86" s="56">
        <f t="shared" si="27"/>
        <v>0</v>
      </c>
      <c r="G86" s="56">
        <f t="shared" si="27"/>
        <v>0</v>
      </c>
      <c r="H86" s="56">
        <f t="shared" si="27"/>
        <v>0</v>
      </c>
      <c r="I86" s="56">
        <f t="shared" si="27"/>
        <v>0</v>
      </c>
      <c r="J86" s="56">
        <f t="shared" si="27"/>
        <v>0</v>
      </c>
      <c r="K86" s="56">
        <f t="shared" si="27"/>
        <v>0</v>
      </c>
      <c r="L86" s="56">
        <f t="shared" si="27"/>
        <v>0</v>
      </c>
      <c r="M86" s="56">
        <f t="shared" si="27"/>
        <v>0</v>
      </c>
      <c r="N86" s="10">
        <f t="shared" si="23"/>
        <v>0</v>
      </c>
    </row>
    <row r="87" spans="2:14" ht="15">
      <c r="B87" s="6" t="s">
        <v>53</v>
      </c>
      <c r="C87" s="56"/>
      <c r="D87" s="56" t="b">
        <f aca="true" t="shared" si="28" ref="D87:M87">IF(C91&gt;$G$17,($G$17-C91)*$C$31)</f>
        <v>0</v>
      </c>
      <c r="E87" s="56" t="b">
        <f t="shared" si="28"/>
        <v>0</v>
      </c>
      <c r="F87" s="56" t="b">
        <f t="shared" si="28"/>
        <v>0</v>
      </c>
      <c r="G87" s="56" t="b">
        <f t="shared" si="28"/>
        <v>0</v>
      </c>
      <c r="H87" s="56" t="b">
        <f t="shared" si="28"/>
        <v>0</v>
      </c>
      <c r="I87" s="56" t="b">
        <f t="shared" si="28"/>
        <v>0</v>
      </c>
      <c r="J87" s="56" t="b">
        <f t="shared" si="28"/>
        <v>0</v>
      </c>
      <c r="K87" s="56" t="b">
        <f t="shared" si="28"/>
        <v>0</v>
      </c>
      <c r="L87" s="56" t="b">
        <f t="shared" si="28"/>
        <v>0</v>
      </c>
      <c r="M87" s="56" t="b">
        <f t="shared" si="28"/>
        <v>0</v>
      </c>
      <c r="N87" s="10">
        <f t="shared" si="23"/>
        <v>0</v>
      </c>
    </row>
    <row r="88" spans="2:14" ht="15">
      <c r="B88" s="6" t="s">
        <v>54</v>
      </c>
      <c r="C88" s="56"/>
      <c r="D88" s="56" t="b">
        <f aca="true" t="shared" si="29" ref="D88:M88">IF(AND(C91&gt;$G$17-$N$93-$N$94,C91&gt;0),(C91-$G$17+$N$93+$N$94)*$C$29)</f>
        <v>0</v>
      </c>
      <c r="E88" s="56" t="b">
        <f t="shared" si="29"/>
        <v>0</v>
      </c>
      <c r="F88" s="56">
        <f t="shared" si="29"/>
        <v>4352.187669020428</v>
      </c>
      <c r="G88" s="56" t="b">
        <f t="shared" si="29"/>
        <v>0</v>
      </c>
      <c r="H88" s="56" t="b">
        <f t="shared" si="29"/>
        <v>0</v>
      </c>
      <c r="I88" s="56" t="b">
        <f t="shared" si="29"/>
        <v>0</v>
      </c>
      <c r="J88" s="56" t="b">
        <f t="shared" si="29"/>
        <v>0</v>
      </c>
      <c r="K88" s="56" t="b">
        <f t="shared" si="29"/>
        <v>0</v>
      </c>
      <c r="L88" s="56" t="b">
        <f t="shared" si="29"/>
        <v>0</v>
      </c>
      <c r="M88" s="56" t="b">
        <f t="shared" si="29"/>
        <v>0</v>
      </c>
      <c r="N88" s="10">
        <f t="shared" si="23"/>
        <v>4352.187669020428</v>
      </c>
    </row>
    <row r="89" spans="2:14" ht="15.75" thickBot="1">
      <c r="B89" s="6" t="s">
        <v>55</v>
      </c>
      <c r="C89" s="56">
        <f aca="true" t="shared" si="30" ref="C89:M89">C81+C82+SUM(C85:C88)</f>
        <v>0</v>
      </c>
      <c r="D89" s="56">
        <f t="shared" si="30"/>
        <v>0</v>
      </c>
      <c r="E89" s="56">
        <f t="shared" si="30"/>
        <v>30150</v>
      </c>
      <c r="F89" s="56">
        <f t="shared" si="30"/>
        <v>4352.187669020428</v>
      </c>
      <c r="G89" s="56">
        <f t="shared" si="30"/>
        <v>0</v>
      </c>
      <c r="H89" s="56">
        <f t="shared" si="30"/>
        <v>0</v>
      </c>
      <c r="I89" s="56">
        <f t="shared" si="30"/>
        <v>0</v>
      </c>
      <c r="J89" s="56">
        <f t="shared" si="30"/>
        <v>0</v>
      </c>
      <c r="K89" s="56">
        <f t="shared" si="30"/>
        <v>0</v>
      </c>
      <c r="L89" s="56">
        <f t="shared" si="30"/>
        <v>0</v>
      </c>
      <c r="M89" s="56">
        <f t="shared" si="30"/>
        <v>0</v>
      </c>
      <c r="N89" s="10">
        <f t="shared" si="23"/>
        <v>34502.18766902043</v>
      </c>
    </row>
    <row r="90" spans="2:14" ht="15">
      <c r="B90" s="57" t="s">
        <v>56</v>
      </c>
      <c r="C90" s="61"/>
      <c r="D90" s="61"/>
      <c r="E90" s="61"/>
      <c r="F90" s="61"/>
      <c r="G90" s="61"/>
      <c r="H90" s="61"/>
      <c r="I90" s="61"/>
      <c r="J90" s="61"/>
      <c r="K90" s="61"/>
      <c r="L90" s="61"/>
      <c r="M90" s="61"/>
      <c r="N90" s="60"/>
    </row>
    <row r="91" spans="2:14" ht="15">
      <c r="B91" s="6" t="s">
        <v>58</v>
      </c>
      <c r="C91" s="56"/>
      <c r="D91" s="56">
        <f aca="true" t="shared" si="31" ref="D91:M91">IF(AND(D51=$C$15+1,$G$26="yes"),$C$20,0)</f>
        <v>0</v>
      </c>
      <c r="E91" s="56">
        <f t="shared" si="31"/>
        <v>32584.82191148694</v>
      </c>
      <c r="F91" s="56">
        <f t="shared" si="31"/>
        <v>0</v>
      </c>
      <c r="G91" s="56">
        <f t="shared" si="31"/>
        <v>0</v>
      </c>
      <c r="H91" s="56">
        <f t="shared" si="31"/>
        <v>0</v>
      </c>
      <c r="I91" s="56">
        <f t="shared" si="31"/>
        <v>0</v>
      </c>
      <c r="J91" s="56">
        <f t="shared" si="31"/>
        <v>0</v>
      </c>
      <c r="K91" s="56">
        <f t="shared" si="31"/>
        <v>0</v>
      </c>
      <c r="L91" s="56">
        <f t="shared" si="31"/>
        <v>0</v>
      </c>
      <c r="M91" s="56">
        <f t="shared" si="31"/>
        <v>0</v>
      </c>
      <c r="N91" s="10">
        <f aca="true" t="shared" si="32" ref="N91:N98">SUM(C91:M91)</f>
        <v>32584.82191148694</v>
      </c>
    </row>
    <row r="92" spans="2:14" ht="15">
      <c r="B92" s="6" t="s">
        <v>59</v>
      </c>
      <c r="C92" s="56"/>
      <c r="D92" s="56">
        <f aca="true" t="shared" si="33" ref="D92:M92">SUM(D93:D96)*($C$29+$C$30)</f>
        <v>0</v>
      </c>
      <c r="E92" s="56">
        <f t="shared" si="33"/>
        <v>0</v>
      </c>
      <c r="F92" s="56">
        <f t="shared" si="33"/>
        <v>7000</v>
      </c>
      <c r="G92" s="56">
        <f t="shared" si="33"/>
        <v>0</v>
      </c>
      <c r="H92" s="56">
        <f t="shared" si="33"/>
        <v>0</v>
      </c>
      <c r="I92" s="56">
        <f t="shared" si="33"/>
        <v>0</v>
      </c>
      <c r="J92" s="56">
        <f t="shared" si="33"/>
        <v>0</v>
      </c>
      <c r="K92" s="56">
        <f t="shared" si="33"/>
        <v>0</v>
      </c>
      <c r="L92" s="56">
        <f t="shared" si="33"/>
        <v>0</v>
      </c>
      <c r="M92" s="56">
        <f t="shared" si="33"/>
        <v>0</v>
      </c>
      <c r="N92" s="10">
        <f t="shared" si="32"/>
        <v>7000</v>
      </c>
    </row>
    <row r="93" spans="2:14" ht="15">
      <c r="B93" s="6" t="s">
        <v>60</v>
      </c>
      <c r="C93" s="56"/>
      <c r="D93" s="56" t="b">
        <f>IF(AND($G$26="yes",D51&gt;$G$13+1,D51&lt;=$C$15+1),($G$17-$G$31)*INDEX(Introduction!$C$37:$K$37,C51-$G$13)/100)</f>
        <v>0</v>
      </c>
      <c r="E93" s="56" t="b">
        <f>IF(AND($G$26="yes",E51&gt;$G$13+1,E51&lt;=$C$15+1),($G$17-$G$31)*INDEX(Introduction!$C$37:$K$37,D51-$G$13)/100)</f>
        <v>0</v>
      </c>
      <c r="F93" s="56" t="b">
        <f>IF(AND($G$26="yes",F51&gt;$G$13+1,F51&lt;=$C$15+1),($G$17-$G$31)*INDEX(Introduction!$C$37:$K$37,E51-$G$13)/100)</f>
        <v>0</v>
      </c>
      <c r="G93" s="56" t="b">
        <f>IF(AND($G$26="yes",G51&gt;$G$13+1,G51&lt;=$C$15+1),($G$17-$G$31)*INDEX(Introduction!$C$37:$K$37,F51-$G$13)/100)</f>
        <v>0</v>
      </c>
      <c r="H93" s="56" t="b">
        <f>IF(AND($G$26="yes",H51&gt;$G$13+1,H51&lt;=$C$15+1),($G$17-$G$31)*INDEX(Introduction!$C$37:$K$37,G51-$G$13)/100)</f>
        <v>0</v>
      </c>
      <c r="I93" s="56" t="b">
        <f>IF(AND($G$26="yes",I51&gt;$G$13+1,I51&lt;=$C$15+1),($G$17-$G$31)*INDEX(Introduction!$C$37:$K$37,H51-$G$13)/100)</f>
        <v>0</v>
      </c>
      <c r="J93" s="56" t="b">
        <f>IF(AND($G$26="yes",J51&gt;$G$13+1,J51&lt;=$C$15+1),($G$17-$G$31)*INDEX(Introduction!$C$37:$K$37,I51-$G$13)/100)</f>
        <v>0</v>
      </c>
      <c r="K93" s="56" t="b">
        <f>IF(AND($G$26="yes",K51&gt;$G$13+1,K51&lt;=$C$15+1),($G$17-$G$31)*INDEX(Introduction!$C$37:$K$37,J51-$G$13)/100)</f>
        <v>0</v>
      </c>
      <c r="L93" s="56" t="b">
        <f>IF(AND($G$26="yes",L51&gt;$G$13+1,L51&lt;=$C$15+1),($G$17-$G$31)*INDEX(Introduction!$C$37:$K$37,K51-$G$13)/100)</f>
        <v>0</v>
      </c>
      <c r="M93" s="56" t="b">
        <f>IF(AND($G$26="yes",M51&gt;$G$13+1,M51&lt;=$C$15+1),($G$17-$G$31)*INDEX(Introduction!$C$37:$K$37,L51-$G$13)/100)</f>
        <v>0</v>
      </c>
      <c r="N93" s="10">
        <f t="shared" si="32"/>
        <v>0</v>
      </c>
    </row>
    <row r="94" spans="2:14" ht="15">
      <c r="B94" s="6" t="s">
        <v>61</v>
      </c>
      <c r="C94" s="56"/>
      <c r="D94" s="56" t="b">
        <f aca="true" t="shared" si="34" ref="D94:M94">IF(AND($G$26="yes",D51=$G$13+2),$G$31)</f>
        <v>0</v>
      </c>
      <c r="E94" s="56" t="b">
        <f t="shared" si="34"/>
        <v>0</v>
      </c>
      <c r="F94" s="56">
        <f t="shared" si="34"/>
        <v>20000</v>
      </c>
      <c r="G94" s="56" t="b">
        <f t="shared" si="34"/>
        <v>0</v>
      </c>
      <c r="H94" s="56" t="b">
        <f t="shared" si="34"/>
        <v>0</v>
      </c>
      <c r="I94" s="56" t="b">
        <f t="shared" si="34"/>
        <v>0</v>
      </c>
      <c r="J94" s="56" t="b">
        <f t="shared" si="34"/>
        <v>0</v>
      </c>
      <c r="K94" s="56" t="b">
        <f t="shared" si="34"/>
        <v>0</v>
      </c>
      <c r="L94" s="56" t="b">
        <f t="shared" si="34"/>
        <v>0</v>
      </c>
      <c r="M94" s="56" t="b">
        <f t="shared" si="34"/>
        <v>0</v>
      </c>
      <c r="N94" s="10">
        <f t="shared" si="32"/>
        <v>20000</v>
      </c>
    </row>
    <row r="95" spans="2:14" ht="15">
      <c r="B95" s="6" t="s">
        <v>62</v>
      </c>
      <c r="C95" s="56"/>
      <c r="D95" s="56">
        <f>C83+C86</f>
        <v>0</v>
      </c>
      <c r="E95" s="56">
        <f aca="true" t="shared" si="35" ref="E95:M95">D83+D86</f>
        <v>0</v>
      </c>
      <c r="F95" s="56">
        <f t="shared" si="35"/>
        <v>0</v>
      </c>
      <c r="G95" s="56">
        <f t="shared" si="35"/>
        <v>0</v>
      </c>
      <c r="H95" s="56">
        <f t="shared" si="35"/>
        <v>0</v>
      </c>
      <c r="I95" s="56">
        <f t="shared" si="35"/>
        <v>0</v>
      </c>
      <c r="J95" s="56">
        <f t="shared" si="35"/>
        <v>0</v>
      </c>
      <c r="K95" s="56">
        <f t="shared" si="35"/>
        <v>0</v>
      </c>
      <c r="L95" s="56">
        <f t="shared" si="35"/>
        <v>0</v>
      </c>
      <c r="M95" s="56">
        <f t="shared" si="35"/>
        <v>0</v>
      </c>
      <c r="N95" s="10">
        <f t="shared" si="32"/>
        <v>0</v>
      </c>
    </row>
    <row r="96" spans="2:14" ht="15">
      <c r="B96" s="6" t="s">
        <v>63</v>
      </c>
      <c r="C96" s="56"/>
      <c r="D96" s="56" t="b">
        <f aca="true" t="shared" si="36" ref="D96:M96">IF(AND(C91&gt;0,C91&lt;$G$17-$N$93-$N$94),-C91+($G$17-$N$93-$N$94))</f>
        <v>0</v>
      </c>
      <c r="E96" s="56" t="b">
        <f t="shared" si="36"/>
        <v>0</v>
      </c>
      <c r="F96" s="56" t="b">
        <f t="shared" si="36"/>
        <v>0</v>
      </c>
      <c r="G96" s="56" t="b">
        <f t="shared" si="36"/>
        <v>0</v>
      </c>
      <c r="H96" s="56" t="b">
        <f t="shared" si="36"/>
        <v>0</v>
      </c>
      <c r="I96" s="56" t="b">
        <f t="shared" si="36"/>
        <v>0</v>
      </c>
      <c r="J96" s="56" t="b">
        <f t="shared" si="36"/>
        <v>0</v>
      </c>
      <c r="K96" s="56" t="b">
        <f t="shared" si="36"/>
        <v>0</v>
      </c>
      <c r="L96" s="56" t="b">
        <f t="shared" si="36"/>
        <v>0</v>
      </c>
      <c r="M96" s="56" t="b">
        <f t="shared" si="36"/>
        <v>0</v>
      </c>
      <c r="N96" s="10">
        <f t="shared" si="32"/>
        <v>0</v>
      </c>
    </row>
    <row r="97" spans="2:14" ht="15">
      <c r="B97" s="6" t="s">
        <v>64</v>
      </c>
      <c r="C97" s="56">
        <f aca="true" t="shared" si="37" ref="C97:M97">C91+C92</f>
        <v>0</v>
      </c>
      <c r="D97" s="56">
        <f t="shared" si="37"/>
        <v>0</v>
      </c>
      <c r="E97" s="56">
        <f t="shared" si="37"/>
        <v>32584.82191148694</v>
      </c>
      <c r="F97" s="56">
        <f t="shared" si="37"/>
        <v>7000</v>
      </c>
      <c r="G97" s="56">
        <f t="shared" si="37"/>
        <v>0</v>
      </c>
      <c r="H97" s="56">
        <f t="shared" si="37"/>
        <v>0</v>
      </c>
      <c r="I97" s="56">
        <f t="shared" si="37"/>
        <v>0</v>
      </c>
      <c r="J97" s="56">
        <f t="shared" si="37"/>
        <v>0</v>
      </c>
      <c r="K97" s="56">
        <f t="shared" si="37"/>
        <v>0</v>
      </c>
      <c r="L97" s="56">
        <f t="shared" si="37"/>
        <v>0</v>
      </c>
      <c r="M97" s="56">
        <f t="shared" si="37"/>
        <v>0</v>
      </c>
      <c r="N97" s="10">
        <f t="shared" si="32"/>
        <v>39584.82191148694</v>
      </c>
    </row>
    <row r="98" spans="2:14" ht="15">
      <c r="B98" s="6" t="s">
        <v>65</v>
      </c>
      <c r="C98" s="56">
        <f aca="true" t="shared" si="38" ref="C98:M98">C89-C97</f>
        <v>0</v>
      </c>
      <c r="D98" s="56">
        <f t="shared" si="38"/>
        <v>0</v>
      </c>
      <c r="E98" s="56">
        <f t="shared" si="38"/>
        <v>-2434.821911486939</v>
      </c>
      <c r="F98" s="56">
        <f t="shared" si="38"/>
        <v>-2647.812330979572</v>
      </c>
      <c r="G98" s="56">
        <f t="shared" si="38"/>
        <v>0</v>
      </c>
      <c r="H98" s="56">
        <f t="shared" si="38"/>
        <v>0</v>
      </c>
      <c r="I98" s="56">
        <f t="shared" si="38"/>
        <v>0</v>
      </c>
      <c r="J98" s="56">
        <f t="shared" si="38"/>
        <v>0</v>
      </c>
      <c r="K98" s="56">
        <f t="shared" si="38"/>
        <v>0</v>
      </c>
      <c r="L98" s="56">
        <f t="shared" si="38"/>
        <v>0</v>
      </c>
      <c r="M98" s="56">
        <f t="shared" si="38"/>
        <v>0</v>
      </c>
      <c r="N98" s="10">
        <f t="shared" si="32"/>
        <v>-5082.634242466511</v>
      </c>
    </row>
    <row r="99" spans="2:14" ht="15.75" thickBot="1">
      <c r="B99" s="79" t="s">
        <v>128</v>
      </c>
      <c r="C99" s="11">
        <f>-C98-C79</f>
        <v>-11000</v>
      </c>
      <c r="D99" s="11">
        <f aca="true" t="shared" si="39" ref="D99:N99">-D98-D79</f>
        <v>-7150</v>
      </c>
      <c r="E99" s="11">
        <f t="shared" si="39"/>
        <v>1964.8219114869385</v>
      </c>
      <c r="F99" s="11">
        <f t="shared" si="39"/>
        <v>4159.812330979572</v>
      </c>
      <c r="G99" s="11">
        <f t="shared" si="39"/>
        <v>0</v>
      </c>
      <c r="H99" s="11">
        <f t="shared" si="39"/>
        <v>0</v>
      </c>
      <c r="I99" s="11">
        <f t="shared" si="39"/>
        <v>0</v>
      </c>
      <c r="J99" s="11">
        <f t="shared" si="39"/>
        <v>0</v>
      </c>
      <c r="K99" s="11">
        <f t="shared" si="39"/>
        <v>0</v>
      </c>
      <c r="L99" s="11">
        <f t="shared" si="39"/>
        <v>0</v>
      </c>
      <c r="M99" s="11">
        <f t="shared" si="39"/>
        <v>0</v>
      </c>
      <c r="N99" s="12">
        <f t="shared" si="39"/>
        <v>-12025.36575753349</v>
      </c>
    </row>
    <row r="100" spans="2:14" ht="15">
      <c r="B100" s="5" t="s">
        <v>66</v>
      </c>
      <c r="C100" s="45"/>
      <c r="D100" s="45"/>
      <c r="E100" s="45"/>
      <c r="F100" s="45"/>
      <c r="G100" s="45"/>
      <c r="H100" s="45"/>
      <c r="I100" s="45"/>
      <c r="J100" s="45"/>
      <c r="K100" s="45"/>
      <c r="L100" s="45"/>
      <c r="M100" s="45"/>
      <c r="N100" s="45"/>
    </row>
    <row r="111" spans="14:16" ht="15">
      <c r="N111"/>
      <c r="O111"/>
      <c r="P111"/>
    </row>
    <row r="112" spans="14:16" ht="15">
      <c r="N112"/>
      <c r="O112"/>
      <c r="P112"/>
    </row>
    <row r="113" spans="14:16" ht="15">
      <c r="N113"/>
      <c r="O113"/>
      <c r="P113"/>
    </row>
    <row r="114" spans="14:16" ht="15">
      <c r="N114"/>
      <c r="O114"/>
      <c r="P114"/>
    </row>
    <row r="115" spans="14:16" ht="15">
      <c r="N115"/>
      <c r="O115"/>
      <c r="P115"/>
    </row>
    <row r="116" spans="14:16" ht="15">
      <c r="N116"/>
      <c r="O116"/>
      <c r="P116"/>
    </row>
    <row r="118" spans="12:256" ht="15">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sheetData>
  <sheetProtection sheet="1"/>
  <mergeCells count="7">
    <mergeCell ref="B9:G9"/>
    <mergeCell ref="B11:G11"/>
    <mergeCell ref="B1:G1"/>
    <mergeCell ref="B4:G4"/>
    <mergeCell ref="B5:G5"/>
    <mergeCell ref="B6:G6"/>
    <mergeCell ref="B7:G7"/>
  </mergeCells>
  <printOptions headings="1"/>
  <pageMargins left="0.5" right="0.5" top="0.5" bottom="0.5" header="0.5" footer="0.5"/>
  <pageSetup fitToHeight="1" fitToWidth="1" horizontalDpi="600" verticalDpi="600" orientation="landscape" scale="39" r:id="rId1"/>
  <headerFooter alignWithMargins="0">
    <oddFooter>&amp;CPrepared by Ray Massey, &amp;D</oddFooter>
  </headerFooter>
  <rowBreaks count="1" manualBreakCount="1">
    <brk id="47" max="13" man="1"/>
  </rowBreaks>
</worksheet>
</file>

<file path=xl/worksheets/sheet4.xml><?xml version="1.0" encoding="utf-8"?>
<worksheet xmlns="http://schemas.openxmlformats.org/spreadsheetml/2006/main" xmlns:r="http://schemas.openxmlformats.org/officeDocument/2006/relationships">
  <dimension ref="A2:A8"/>
  <sheetViews>
    <sheetView showGridLines="0" zoomScalePageLayoutView="0" workbookViewId="0" topLeftCell="A1">
      <selection activeCell="A14" sqref="A14"/>
    </sheetView>
  </sheetViews>
  <sheetFormatPr defaultColWidth="8.88671875" defaultRowHeight="15"/>
  <sheetData>
    <row r="2" ht="15">
      <c r="A2" t="s">
        <v>101</v>
      </c>
    </row>
    <row r="3" ht="15">
      <c r="A3" s="47" t="s">
        <v>102</v>
      </c>
    </row>
    <row r="4" ht="15">
      <c r="A4" t="s">
        <v>103</v>
      </c>
    </row>
    <row r="7" ht="15">
      <c r="A7" t="s">
        <v>117</v>
      </c>
    </row>
    <row r="8" ht="15">
      <c r="A8" t="s">
        <v>118</v>
      </c>
    </row>
  </sheetData>
  <sheetProtection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McClure, Hannah S</cp:lastModifiedBy>
  <cp:lastPrinted>2001-11-19T16:18:39Z</cp:lastPrinted>
  <dcterms:created xsi:type="dcterms:W3CDTF">1998-12-28T21:12:21Z</dcterms:created>
  <dcterms:modified xsi:type="dcterms:W3CDTF">2014-01-21T21:23:10Z</dcterms:modified>
  <cp:category/>
  <cp:version/>
  <cp:contentType/>
  <cp:contentStatus/>
</cp:coreProperties>
</file>